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https://bonsucro.sharepoint.com/Shared Documents/3) Performance Verification/3.01 Bonsucro Production Certification/1. Standard Revision Version 5/8. V5.0 calculator/Smallholder calculator update/Update version/"/>
    </mc:Choice>
  </mc:AlternateContent>
  <xr:revisionPtr revIDLastSave="118" documentId="13_ncr:1_{8BD6A805-CE34-4E8A-B1A3-17960C8553EC}" xr6:coauthVersionLast="47" xr6:coauthVersionMax="47" xr10:uidLastSave="{3C87AAC4-7F89-4CFA-BB13-322313A3FAAF}"/>
  <workbookProtection workbookAlgorithmName="SHA-512" workbookHashValue="NjSYoQj20NcQOHOnNqYahqSElOplbUAx5GZARGNc/POgi1qx2lfe2bPFE6/T+cwwhhqcsgfmX69wCOS4y2hHzA==" workbookSaltValue="JGCHwQlzaxIFl8H6ZQcxVQ==" workbookSpinCount="100000" lockStructure="1"/>
  <bookViews>
    <workbookView xWindow="28680" yWindow="-120" windowWidth="29040" windowHeight="15840" tabRatio="500" activeTab="2" xr2:uid="{00000000-000D-0000-FFFF-FFFF00000000}"/>
  </bookViews>
  <sheets>
    <sheet name="Changes" sheetId="4" r:id="rId1"/>
    <sheet name="Datos del grupo" sheetId="1" r:id="rId2"/>
    <sheet name="Resultados del grupo" sheetId="2" r:id="rId3"/>
    <sheet name="Cálculos" sheetId="3" r:id="rId4"/>
    <sheet name="Dropdowns" sheetId="5" state="hidden" r:id="rId5"/>
  </sheets>
  <definedNames>
    <definedName name="_xlnm.Print_Area" localSheetId="0">Changes!$A$1:$G$17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2" l="1"/>
  <c r="D33" i="2" l="1"/>
  <c r="E33" i="2" s="1"/>
  <c r="D27" i="2"/>
  <c r="C27" i="2"/>
  <c r="D15" i="2"/>
  <c r="E15" i="2" s="1"/>
  <c r="D14" i="2"/>
  <c r="E14" i="2" s="1"/>
  <c r="D40" i="2"/>
  <c r="E40" i="2" s="1"/>
  <c r="D86" i="3"/>
  <c r="D83" i="3"/>
  <c r="D82" i="3"/>
  <c r="D81" i="3"/>
  <c r="D77" i="3"/>
  <c r="D76" i="3"/>
  <c r="D71" i="3"/>
  <c r="D70" i="3"/>
  <c r="D69" i="3"/>
  <c r="D68" i="3"/>
  <c r="D64" i="3"/>
  <c r="D62" i="3"/>
  <c r="D61" i="3"/>
  <c r="D55" i="3"/>
  <c r="D53" i="3"/>
  <c r="D50" i="3"/>
  <c r="D49" i="3"/>
  <c r="D44" i="3"/>
  <c r="D43" i="3"/>
  <c r="D42" i="3"/>
  <c r="D41" i="3"/>
  <c r="D38" i="3"/>
  <c r="D37" i="3"/>
  <c r="D34" i="3"/>
  <c r="D33" i="3"/>
  <c r="D25" i="3"/>
  <c r="D24" i="3"/>
  <c r="D23" i="3"/>
  <c r="D15" i="3"/>
  <c r="D14" i="3"/>
  <c r="D13" i="3"/>
  <c r="D10" i="3"/>
  <c r="D9" i="3"/>
  <c r="D8" i="3"/>
  <c r="F7" i="3" s="1"/>
  <c r="D48" i="2"/>
  <c r="E48" i="2" s="1"/>
  <c r="D47" i="2"/>
  <c r="E47" i="2" s="1"/>
  <c r="D43" i="2"/>
  <c r="E43" i="2" s="1"/>
  <c r="F42" i="2"/>
  <c r="D41" i="2"/>
  <c r="F41" i="2" s="1"/>
  <c r="D36" i="2"/>
  <c r="F36" i="2" s="1"/>
  <c r="D34" i="2"/>
  <c r="E34" i="2" s="1"/>
  <c r="D31" i="2"/>
  <c r="E31" i="2" s="1"/>
  <c r="D30" i="2"/>
  <c r="E30" i="2" s="1"/>
  <c r="D28" i="2"/>
  <c r="E28" i="2" s="1"/>
  <c r="D25" i="2"/>
  <c r="E25" i="2" s="1"/>
  <c r="D24" i="2"/>
  <c r="E24" i="2" s="1"/>
  <c r="D23" i="2"/>
  <c r="F23" i="2" s="1"/>
  <c r="D22" i="2"/>
  <c r="F22" i="2" s="1"/>
  <c r="D21" i="2"/>
  <c r="E21" i="2" s="1"/>
  <c r="D20" i="2"/>
  <c r="F20" i="2" s="1"/>
  <c r="D19" i="2"/>
  <c r="E19" i="2" s="1"/>
  <c r="D18" i="2"/>
  <c r="E18" i="2" s="1"/>
  <c r="D17" i="2"/>
  <c r="E17" i="2" s="1"/>
  <c r="F9" i="3" l="1"/>
  <c r="G7" i="3" s="1"/>
  <c r="E16" i="2" s="1"/>
  <c r="F27" i="2"/>
  <c r="D84" i="3" l="1"/>
  <c r="D85" i="3" s="1"/>
  <c r="D73" i="3"/>
  <c r="D72" i="3"/>
  <c r="D56" i="3"/>
  <c r="F37" i="3"/>
  <c r="E30" i="3"/>
  <c r="E26" i="3"/>
  <c r="E27" i="3"/>
  <c r="E28" i="3"/>
  <c r="E24" i="3"/>
  <c r="E16" i="3"/>
  <c r="D39" i="2" l="1"/>
  <c r="G81" i="3"/>
  <c r="F39" i="2" s="1"/>
  <c r="G37" i="3"/>
  <c r="E26" i="2" s="1"/>
  <c r="D26" i="2"/>
  <c r="D78" i="3"/>
  <c r="G76" i="3" s="1"/>
  <c r="D45" i="3"/>
  <c r="D47" i="3" s="1"/>
  <c r="F42" i="3" s="1"/>
  <c r="D63" i="3"/>
  <c r="D65" i="3" s="1"/>
  <c r="G61" i="3" s="1"/>
  <c r="F38" i="2" s="1"/>
  <c r="E29" i="3"/>
  <c r="E31" i="3" s="1"/>
  <c r="E14" i="3"/>
  <c r="F68" i="3"/>
  <c r="D46" i="3"/>
  <c r="F41" i="3" s="1"/>
  <c r="E34" i="3"/>
  <c r="E19" i="3"/>
  <c r="D54" i="3"/>
  <c r="D57" i="3" s="1"/>
  <c r="E18" i="3"/>
  <c r="E20" i="3"/>
  <c r="E17" i="3"/>
  <c r="C6" i="2" l="1"/>
  <c r="F43" i="3"/>
  <c r="F29" i="2" s="1"/>
  <c r="F61" i="3"/>
  <c r="D38" i="2" s="1"/>
  <c r="F69" i="3"/>
  <c r="G68" i="3" s="1"/>
  <c r="F32" i="2" s="1"/>
  <c r="E21" i="3"/>
  <c r="F14" i="3" s="1"/>
  <c r="D45" i="2" s="1"/>
  <c r="F37" i="2"/>
  <c r="D37" i="2"/>
  <c r="G53" i="3"/>
  <c r="F35" i="2" s="1"/>
  <c r="D35" i="2"/>
  <c r="G33" i="3"/>
  <c r="F46" i="2" s="1"/>
  <c r="D46" i="2"/>
  <c r="G24" i="3"/>
  <c r="E44" i="2" s="1"/>
  <c r="F24" i="3"/>
  <c r="D44" i="2" s="1"/>
  <c r="G14" i="3" l="1"/>
  <c r="F45" i="2" s="1"/>
  <c r="C8" i="2"/>
  <c r="C10" i="2" s="1"/>
  <c r="C9" i="2"/>
  <c r="C11" i="2" l="1"/>
</calcChain>
</file>

<file path=xl/sharedStrings.xml><?xml version="1.0" encoding="utf-8"?>
<sst xmlns="http://schemas.openxmlformats.org/spreadsheetml/2006/main" count="524" uniqueCount="347">
  <si>
    <t>Calculadora Bonsucro para Pequeños Agricultores</t>
  </si>
  <si>
    <t>Privacidad de datos: Al completar la Calculadora Bonsucro y al enviarla a Bonsucro o a un organismo de certificación, usted está dando permiso a Bonsucro para acceder a los datos de los ingenios individuales y usar los datos publicamente de forma agregada, incluida la transferencia a Bonsucro Connect, que puede ser recibida/gestionada por un tercero; el cual estará sujeto a las mismas reglas que Bonsucro. Si tiene alguna duda, por favor contacte a Bonsucro en la siguiente dirección info@bonsucro.com .</t>
  </si>
  <si>
    <t>Indicador relevante (núcleo rojo)</t>
  </si>
  <si>
    <t>Solicitud de entrada</t>
  </si>
  <si>
    <t>Unidad</t>
  </si>
  <si>
    <t>Nota</t>
  </si>
  <si>
    <t>Descripción</t>
  </si>
  <si>
    <t>General</t>
  </si>
  <si>
    <t>Nombre del grupo</t>
  </si>
  <si>
    <t>Nombre de la asociación/ingenio/otro que solicita la certificación y que trabaja con el grupo de agricultores para obtener la certificación.</t>
  </si>
  <si>
    <r>
      <t xml:space="preserve">Fecha de inicio de la </t>
    </r>
    <r>
      <rPr>
        <sz val="12"/>
        <rFont val="Calibri (Body)"/>
      </rPr>
      <t>evaluación</t>
    </r>
  </si>
  <si>
    <t>mm/aa</t>
  </si>
  <si>
    <r>
      <rPr>
        <sz val="12"/>
        <rFont val="Calibri (Body)"/>
      </rPr>
      <t xml:space="preserve">Fecha de finalización de la </t>
    </r>
    <r>
      <rPr>
        <sz val="12"/>
        <rFont val="Calibri"/>
        <family val="2"/>
        <scheme val="minor"/>
      </rPr>
      <t>e</t>
    </r>
    <r>
      <rPr>
        <sz val="12"/>
        <rFont val="Calibri (Body)"/>
      </rPr>
      <t>valuación(un año después)</t>
    </r>
  </si>
  <si>
    <r>
      <t xml:space="preserve">A partir de un año después de la "fecha de inicio de la evaluación", incluido por lo menos el período completo de </t>
    </r>
    <r>
      <rPr>
        <sz val="12"/>
        <rFont val="Calibri (Body)"/>
      </rPr>
      <t>cosecha</t>
    </r>
    <r>
      <rPr>
        <sz val="12"/>
        <rFont val="Calibri"/>
        <family val="2"/>
        <scheme val="minor"/>
      </rPr>
      <t xml:space="preserve">. Si se solicita la certificación, se utilizará el periodo de </t>
    </r>
    <r>
      <rPr>
        <sz val="12"/>
        <rFont val="Calibri (Body)"/>
      </rPr>
      <t>cosecha</t>
    </r>
    <r>
      <rPr>
        <sz val="12"/>
        <rFont val="Calibri"/>
        <family val="2"/>
        <scheme val="minor"/>
      </rPr>
      <t xml:space="preserve"> anterior a la auditoría para ingresar la información. Todos los datos debeben ser completados para un periodo de un año. </t>
    </r>
  </si>
  <si>
    <t>Número de agricultores en la unidad de certificación</t>
  </si>
  <si>
    <t>#</t>
  </si>
  <si>
    <t>Proporcione una lista de agricultores al auditor antes de la auditoría.</t>
  </si>
  <si>
    <t>Año de cumplimiento (año 1, 2, 3, 4 y 5)</t>
  </si>
  <si>
    <t>Si el grupo no ha sido certificado antes, ingrese "1". No ingrese un número superior a 5 (es el máximo y el requisito no  excederá).</t>
  </si>
  <si>
    <t>Número de trabajadoras</t>
  </si>
  <si>
    <t>%</t>
  </si>
  <si>
    <r>
      <t xml:space="preserve">No incluir al administrador de la finca. Es posible estimar/calcular el uso de la mano de obra por finca si los trabajadores no son </t>
    </r>
    <r>
      <rPr>
        <sz val="12"/>
        <rFont val="Calibri (Body)"/>
      </rPr>
      <t xml:space="preserve">supervisados </t>
    </r>
    <r>
      <rPr>
        <sz val="12"/>
        <rFont val="Calibri"/>
        <family val="2"/>
        <scheme val="minor"/>
      </rPr>
      <t>por el administrador del grupo.</t>
    </r>
  </si>
  <si>
    <t xml:space="preserve">General </t>
  </si>
  <si>
    <t>Producción de caña de azúcar (total del grupo)</t>
  </si>
  <si>
    <t>toneladas</t>
  </si>
  <si>
    <t>1.1.1</t>
  </si>
  <si>
    <t>¿Los agricultores cumplen con las leyes ambientales, sociales y de producción?</t>
  </si>
  <si>
    <t>Sí/No</t>
  </si>
  <si>
    <r>
      <t xml:space="preserve">Las leyes ambientales incluyen la legislación de </t>
    </r>
    <r>
      <rPr>
        <sz val="12"/>
        <rFont val="Calibri (Body)"/>
      </rPr>
      <t>residuos</t>
    </r>
    <r>
      <rPr>
        <sz val="12"/>
        <rFont val="Calibri"/>
        <family val="2"/>
        <scheme val="minor"/>
      </rPr>
      <t xml:space="preserve">, la contaminación y la protección ambiental, la conservación natural, la calidad del agua, la energía y la protección del suelo. Las leyes sociales incluyen la legislación sobre las condiciones laborales y el bienestar social. Las leyes de producción incluyen prácticas de producción agrícola (por ejemplo, la quema de  caña </t>
    </r>
    <r>
      <rPr>
        <sz val="12"/>
        <rFont val="Calibri (Body)"/>
      </rPr>
      <t>uso de maquinaria para cosecha</t>
    </r>
    <r>
      <rPr>
        <sz val="12"/>
        <rFont val="Calibri"/>
        <family val="2"/>
        <scheme val="minor"/>
      </rPr>
      <t xml:space="preserve">) y el transporte. </t>
    </r>
  </si>
  <si>
    <t>1.2.1</t>
  </si>
  <si>
    <t>¿Se puede demostrar el derecho a usar la tierra y el agua?</t>
  </si>
  <si>
    <r>
      <t xml:space="preserve">A falta de manifestaciones legales, el operador deberá confirmar que no haya </t>
    </r>
    <r>
      <rPr>
        <sz val="12"/>
        <rFont val="Calibri (Body)"/>
      </rPr>
      <t>disputas</t>
    </r>
    <r>
      <rPr>
        <sz val="12"/>
        <rFont val="Calibri"/>
        <family val="2"/>
        <scheme val="minor"/>
      </rPr>
      <t xml:space="preserve"> de los derechos sobre la tierra y el agua o que se sigan los derechos de uso consuetudinarios. </t>
    </r>
  </si>
  <si>
    <t>2.1.1</t>
  </si>
  <si>
    <t>¿Cuál es la edad mínima requerida de los trabajadores que realizan trabajos no peligrosos?</t>
  </si>
  <si>
    <t xml:space="preserve">La edad mínima requerida es de 13 años para las fincas familiares y de 15 años para la mano de obra contratada. </t>
  </si>
  <si>
    <t>¿Cuál es la edad mínima requerida de los trabajadores que realizan trabajos peligrosos?</t>
  </si>
  <si>
    <t>La edad mínima requerida es de 18 años.</t>
  </si>
  <si>
    <t>¿Cuál es la edad mínima requerida en el país? Si el convenio C138 de la OIT está ratificado o si hay una edad mínima legal, por favor, introduzca la edad mínima aquí.</t>
  </si>
  <si>
    <t xml:space="preserve"> Ingrese "13" si el convencio C138 de la OIT no está en vigor o si no hay una edad mínima requerida para las fincas familiares. Busque las ratificaciones por país aquí: http://www.ilo.org/dyn/normlex/en/f?p=1000:11300:0::NO:11300:P11300_INSTRUMENT_ID:312283</t>
  </si>
  <si>
    <t>2.1.2</t>
  </si>
  <si>
    <t>¿Hay alguna evidencia de trabajo forzada?</t>
  </si>
  <si>
    <t>2.1.3</t>
  </si>
  <si>
    <t>¿Hay alguna evidencia de discriminación?</t>
  </si>
  <si>
    <t>2.1.4</t>
  </si>
  <si>
    <t>¿Se respeta el derecho de todo el personal a formar y unirse sindicatos y/o a negociar colectivamente?</t>
  </si>
  <si>
    <t>A través de entrevistas y depende de los requisitos legales. Aplica para todos los trabajadores en las instalaciones de la fincas incluidas en la unidad de certificación, contratados de forma permanente ya sea por un agricultores individuales o como servicio compartido del grupo o ingenio.</t>
  </si>
  <si>
    <t>2.2.1</t>
  </si>
  <si>
    <t>¿Los accidentes relacionados con el trabajo quedan registrados?</t>
  </si>
  <si>
    <t>Los accidentes laborales que afecten al pequeño agricultor y a los trabajadores (agricultores, trabajadores familiares y trabajadores asalariados incluidos) se deberán registrar.</t>
  </si>
  <si>
    <r>
      <rPr>
        <sz val="12"/>
        <color theme="1"/>
        <rFont val="Calibri"/>
        <family val="2"/>
        <scheme val="minor"/>
      </rPr>
      <t>2.2.1/</t>
    </r>
    <r>
      <rPr>
        <sz val="12"/>
        <color rgb="FFFF0000"/>
        <rFont val="Calibri"/>
        <family val="2"/>
        <scheme val="minor"/>
      </rPr>
      <t>2.2.2</t>
    </r>
  </si>
  <si>
    <t>¿Existe un plan de salud y de seguridad?</t>
  </si>
  <si>
    <r>
      <t xml:space="preserve">El plan de salud y seguridad debe cubrir, por lo menos, la cosecha y la aplicación de agroquímicos. Además debe incluir una evaluación cuantitiva del riesgo. </t>
    </r>
    <r>
      <rPr>
        <sz val="12"/>
        <color theme="1"/>
        <rFont val="Calibri (Body)"/>
      </rPr>
      <t xml:space="preserve">Cargarlo </t>
    </r>
    <r>
      <rPr>
        <sz val="12"/>
        <color theme="1"/>
        <rFont val="Calibri"/>
        <family val="2"/>
        <scheme val="minor"/>
      </rPr>
      <t xml:space="preserve">a Bonsucro Connect es opcional. Se puede utilizar un plan de salud y seguridad para todo el grupo de fincas. Las pruebas para registrar los accidentes laborales deben comfirmarse en la muestra de las calculadoras. </t>
    </r>
  </si>
  <si>
    <t>2.2.3</t>
  </si>
  <si>
    <t>¿Todos los trabajadores utilizan el equipo de protección personal (EPP)?</t>
  </si>
  <si>
    <r>
      <t>Independientemente de la situación contractual (agricultores y</t>
    </r>
    <r>
      <rPr>
        <sz val="12"/>
        <rFont val="Calibri (Body)"/>
      </rPr>
      <t xml:space="preserve"> trabajadores </t>
    </r>
    <r>
      <rPr>
        <sz val="12"/>
        <rFont val="Calibri"/>
        <family val="2"/>
        <scheme val="minor"/>
      </rPr>
      <t>estacionales o permanentes incluidos). Para cumplir con los requisitos, el EPP debe usarse en trabajos de alto riesgo, incluyendo el corte de caña y la aplicación de agroquímicos.</t>
    </r>
  </si>
  <si>
    <t>2.2.4</t>
  </si>
  <si>
    <t>Porcentaje de los trabajadores (incluidos los agricultores si realizan trabajos en la finca) que han sido capacitados en materia de salud y seguridad</t>
  </si>
  <si>
    <t>El entrenamiento puede llevarse acabo por un tercero o por una persona internamente calificada.</t>
  </si>
  <si>
    <t>2.2.5</t>
  </si>
  <si>
    <t>¿Hay suficiente agua potable segura para cada trabajador en la finca?</t>
  </si>
  <si>
    <t>2.2.6</t>
  </si>
  <si>
    <t>¿Hay acceso a servicios de primeros auxilios y de emergencia?</t>
  </si>
  <si>
    <t>2.3.1</t>
  </si>
  <si>
    <t>Salario mínimo pagado (pago más bajo)</t>
  </si>
  <si>
    <t>USD</t>
  </si>
  <si>
    <r>
      <t xml:space="preserve">El pago por día o por semana debe ser consistente con la línea 39. Si el pago es a destajo  o no se registra, debe ser estimado de manera creíble para el grupo </t>
    </r>
    <r>
      <rPr>
        <sz val="12"/>
        <rFont val="Calibri (Body)"/>
      </rPr>
      <t>que considere la mano de obra con menor remuneración</t>
    </r>
    <r>
      <rPr>
        <sz val="12"/>
        <rFont val="Calibri"/>
        <family val="2"/>
        <scheme val="minor"/>
      </rPr>
      <t>.</t>
    </r>
  </si>
  <si>
    <t>Salario mínimo establecido por la ley (pago mínimo)</t>
  </si>
  <si>
    <r>
      <t xml:space="preserve">El pago por día o por semana debe ser consistente con la línea 38. Si el pago es a destajo  o no se registra, debe ser estimado de manera creíble para el grupo </t>
    </r>
    <r>
      <rPr>
        <sz val="12"/>
        <rFont val="Calibri (Body)"/>
      </rPr>
      <t>que considere la mano de obra con menor remuneración</t>
    </r>
    <r>
      <rPr>
        <sz val="12"/>
        <rFont val="Calibri"/>
        <family val="2"/>
        <scheme val="minor"/>
      </rPr>
      <t>. Convierta el pago a dólares americanos, utilizando la misma tasa que la utilizada en la línea 38. Indique el tipo de cambio en las notas.</t>
    </r>
  </si>
  <si>
    <t>2.3.2</t>
  </si>
  <si>
    <t>Número máximo de horas permitidas por la ley por semana</t>
  </si>
  <si>
    <t>Si la ley no enmarca el número máximo de horas trabajadas, entonces ingrese "60".</t>
  </si>
  <si>
    <t>Número máximo de horas realmente trabajadas por semana</t>
  </si>
  <si>
    <r>
      <t xml:space="preserve">Indentifique el tipo de trabajo con más horas y </t>
    </r>
    <r>
      <rPr>
        <sz val="12"/>
        <rFont val="Calibri (Body)"/>
      </rPr>
      <t>estime</t>
    </r>
    <r>
      <rPr>
        <sz val="12"/>
        <rFont val="Calibri"/>
        <family val="2"/>
        <scheme val="minor"/>
      </rPr>
      <t xml:space="preserve"> sus horas con base en un muestreo si no se dispone de registros de horas.</t>
    </r>
  </si>
  <si>
    <t>2.4.1</t>
  </si>
  <si>
    <t>¿Los trabajadores son conscientes de sus derechos y tienen un contrato (escrito, si es legalmente requerido, o verbal)?</t>
  </si>
  <si>
    <t>Si la ley lo permite, se puede tener contratos verbales, en los que el individuo entienda los términos del contrato especificado en el Estándar de Producción para Pequeños Agricultores.</t>
  </si>
  <si>
    <t>3.1.2</t>
  </si>
  <si>
    <t>Tierra bajo caña (total por grupo)</t>
  </si>
  <si>
    <t>ha</t>
  </si>
  <si>
    <t>Total de tierra bajo la caña para agricultores en la unidad de certificación</t>
  </si>
  <si>
    <t>El área de las fincas que son irrigadas</t>
  </si>
  <si>
    <r>
      <t xml:space="preserve">Es posible </t>
    </r>
    <r>
      <rPr>
        <sz val="12"/>
        <rFont val="Calibri (Body)"/>
      </rPr>
      <t>estimar</t>
    </r>
    <r>
      <rPr>
        <sz val="12"/>
        <rFont val="Calibri"/>
        <family val="2"/>
        <scheme val="minor"/>
      </rPr>
      <t xml:space="preserve"> si se conoce el porcentaje de fincas que </t>
    </r>
    <r>
      <rPr>
        <sz val="12"/>
        <rFont val="Calibri (Body)"/>
      </rPr>
      <t>riegan (incluir riego suplementario y completa )</t>
    </r>
    <r>
      <rPr>
        <sz val="12"/>
        <rFont val="Calibri"/>
        <family val="2"/>
        <scheme val="minor"/>
      </rPr>
      <t>.</t>
    </r>
  </si>
  <si>
    <r>
      <t xml:space="preserve">Toneladas de caña </t>
    </r>
    <r>
      <rPr>
        <sz val="12"/>
        <rFont val="Calibri (Body)"/>
      </rPr>
      <t xml:space="preserve">cosechadas </t>
    </r>
    <r>
      <rPr>
        <sz val="12"/>
        <rFont val="Calibri"/>
        <family val="2"/>
        <scheme val="minor"/>
      </rPr>
      <t xml:space="preserve"> en la zona de riego. </t>
    </r>
  </si>
  <si>
    <t>Toneladas de caña/ha</t>
  </si>
  <si>
    <r>
      <t xml:space="preserve">Esta cantidad debe incluirse en la </t>
    </r>
    <r>
      <rPr>
        <sz val="12"/>
        <rFont val="Calibri (Body)"/>
      </rPr>
      <t>cosecha</t>
    </r>
    <r>
      <rPr>
        <sz val="12"/>
        <rFont val="Calibri"/>
        <family val="2"/>
        <scheme val="minor"/>
      </rPr>
      <t xml:space="preserve"> total de caña de azúcar del grupo.</t>
    </r>
  </si>
  <si>
    <t xml:space="preserve">Objetivos de rendimiento para la zona clímatica (regada) </t>
  </si>
  <si>
    <t>Busque el rendimiento del objetivo en su región aquí: https://www.bonsucro.com/wp-content/uploads/2017/01/ClimateZones_Sugar.png</t>
  </si>
  <si>
    <t xml:space="preserve">Objetivos de rendimiento para la zona clímatica (de secano) </t>
  </si>
  <si>
    <t>4.1.2</t>
  </si>
  <si>
    <t xml:space="preserve">Has any land been converted from legally protected (nationally or internationally) or high conservation value areas since five years prior to first certification? </t>
  </si>
  <si>
    <t xml:space="preserve">Herramienta para acceder a las imágenes satelitales del cambio de uso de la tierra: http://www.globalforestwatch.org/map </t>
  </si>
  <si>
    <t>4.1.3</t>
  </si>
  <si>
    <t>Plan de Gestión e Impacto Ambiental</t>
  </si>
  <si>
    <t xml:space="preserve">Plantilla proporcionada por el material de capacitación de Bonsucro en inglés, español y portugués. Note que la importancia de este documento es para consultar las actividades y hacer un seguimiento de los progresos. Los temas relevantes incluyen el suelo, el agua, el uso de la gestión integrada de plagas, el uso de fertilizantes artificiales y la quema de caña. Los cinco temas deben ser contemplados en el plan. Cargarlo/subirlo a Bonsucro Connect es opcional.  </t>
  </si>
  <si>
    <t>4.1.4</t>
  </si>
  <si>
    <t>Promedio recomendado de aplicación de nitrógeno</t>
  </si>
  <si>
    <t>Kg/ha</t>
  </si>
  <si>
    <t>Con base en el análisis del suelo o de las hojas. Las recomendaciones se deberán realizar de acuerdo con las mejores prácticas reconocidas por la industria local.</t>
  </si>
  <si>
    <t>Promedio recomendado de aplicación de P205 (fósforo)</t>
  </si>
  <si>
    <t>P2O5 Kg/ha</t>
  </si>
  <si>
    <t xml:space="preserve">Con base en el análisis del suelo o de las hojas. Las recomencaciones se  deberán realizar de acuerdo con las mejores prácticas reconocidas por la industria local. </t>
  </si>
  <si>
    <t>¿Se aplica el fertilizante siguiendo la recomendación (o por debajo de la recomendación?</t>
  </si>
  <si>
    <r>
      <t xml:space="preserve">Con base en un muestreo de información de los agricultores (un sistema de distribución existente si lo gestiona el administrador del grupo o los </t>
    </r>
    <r>
      <rPr>
        <sz val="12"/>
        <rFont val="Calibri (Body)"/>
      </rPr>
      <t>Diarios de Campo)</t>
    </r>
    <r>
      <rPr>
        <sz val="12"/>
        <rFont val="Calibri"/>
        <family val="2"/>
        <scheme val="minor"/>
      </rPr>
      <t>.</t>
    </r>
  </si>
  <si>
    <t>Aplicación media de nitrógeno</t>
  </si>
  <si>
    <t>Nitrógeno Kg/ha</t>
  </si>
  <si>
    <t>Aplicación media de P205 (fósforo)</t>
  </si>
  <si>
    <t>4.1.5</t>
  </si>
  <si>
    <t>¿Cuál es el promedio máximo de ingredientes activos aplicados por hectáreas por año?</t>
  </si>
  <si>
    <t>No</t>
  </si>
  <si>
    <r>
      <t xml:space="preserve">incluir Herbicidas, pesticidas, fungicidas, maduradores y otros productos químicos para la </t>
    </r>
    <r>
      <rPr>
        <sz val="12"/>
        <rFont val="Calibri (Body)"/>
      </rPr>
      <t>producción</t>
    </r>
    <r>
      <rPr>
        <sz val="12"/>
        <rFont val="Calibri"/>
        <family val="2"/>
        <scheme val="minor"/>
      </rPr>
      <t xml:space="preserve">. Puede utilizar </t>
    </r>
    <r>
      <rPr>
        <sz val="12"/>
        <rFont val="Calibri (Body)"/>
      </rPr>
      <t xml:space="preserve">muestras </t>
    </r>
    <r>
      <rPr>
        <sz val="12"/>
        <rFont val="Calibri"/>
        <family val="2"/>
        <scheme val="minor"/>
      </rPr>
      <t xml:space="preserve">de </t>
    </r>
    <r>
      <rPr>
        <sz val="12"/>
        <rFont val="Calibri (Body)"/>
      </rPr>
      <t>Diarios de Campo para hacer estimaciones.</t>
    </r>
  </si>
  <si>
    <t>4.1.6</t>
  </si>
  <si>
    <t>¿Se han aplicado agroquímicos prohibidos?</t>
  </si>
  <si>
    <t>Busque la lista de sustancias químicas prohibidas aquí: http://www.ipm-coalition.org</t>
  </si>
  <si>
    <t>5.2.2</t>
  </si>
  <si>
    <t>Uso medio de agua por hectárea de las fincas de riego</t>
  </si>
  <si>
    <r>
      <t>m</t>
    </r>
    <r>
      <rPr>
        <vertAlign val="superscript"/>
        <sz val="12"/>
        <rFont val="Calibri (Body)"/>
      </rPr>
      <t>3</t>
    </r>
    <r>
      <rPr>
        <sz val="12"/>
        <rFont val="Calibri"/>
        <family val="2"/>
        <scheme val="minor"/>
      </rPr>
      <t>/ha</t>
    </r>
  </si>
  <si>
    <t>El riego incluye el agua extraída, el agua reciclada, la vinaza diluida, efluentes diluidos y el agua de lluvia capturada (no agua de lluvia). Si el grupo aún no está calculando la eficiencia del uso del agua, ingrese "no medida".</t>
  </si>
  <si>
    <t>5.2.3</t>
  </si>
  <si>
    <r>
      <t xml:space="preserve">Se puede </t>
    </r>
    <r>
      <rPr>
        <sz val="12"/>
        <rFont val="Calibri (Body)"/>
      </rPr>
      <t>estimar</t>
    </r>
  </si>
  <si>
    <t>5.2.5</t>
  </si>
  <si>
    <t xml:space="preserve">Número de pruebas de suelo realizadas (pH y macronutrientes) </t>
  </si>
  <si>
    <t>Las pruebas pueden ser realizadas por el ingenio o un laboratorio de teceros, por ejemplo.</t>
  </si>
  <si>
    <t xml:space="preserve">Número de pruebas de suelo realizadas, con resultados de un valor de pH  que va de 5,0 a 8,0 </t>
  </si>
  <si>
    <t>Para asegurar el mantenimiento de un pH óptimo suelo, el muestreo debe llevarse a cabo al menos una vez por ciclo de cultivo.</t>
  </si>
  <si>
    <t>5.3.1</t>
  </si>
  <si>
    <t>Contenido de fibra de la caña</t>
  </si>
  <si>
    <t>Calidad promedio de la caña</t>
  </si>
  <si>
    <t>La pureza del jugo crudo</t>
  </si>
  <si>
    <t>Contenido de sacarosa de la caña</t>
  </si>
  <si>
    <t>5.3.2</t>
  </si>
  <si>
    <t>¿El ingenio produce etanol?</t>
  </si>
  <si>
    <t>El ingenio al que los granjeros suministran la caña.</t>
  </si>
  <si>
    <r>
      <t xml:space="preserve">Contenido total de azúcares de la caña </t>
    </r>
    <r>
      <rPr>
        <sz val="12"/>
        <rFont val="Calibri (Body)"/>
      </rPr>
      <t>expresado</t>
    </r>
    <r>
      <rPr>
        <sz val="12"/>
        <rFont val="Calibri"/>
        <family val="2"/>
        <scheme val="minor"/>
      </rPr>
      <t xml:space="preserve"> como azúcares reductores</t>
    </r>
  </si>
  <si>
    <r>
      <rPr>
        <sz val="12"/>
        <rFont val="Calibri (Body)"/>
      </rPr>
      <t>Aplica</t>
    </r>
    <r>
      <rPr>
        <sz val="12"/>
        <rFont val="Calibri"/>
        <family val="2"/>
        <scheme val="minor"/>
      </rPr>
      <t xml:space="preserve"> sólo si se produce etanol</t>
    </r>
  </si>
  <si>
    <t>7.2.2</t>
  </si>
  <si>
    <r>
      <t xml:space="preserve">Número de </t>
    </r>
    <r>
      <rPr>
        <sz val="12"/>
        <rFont val="Calibri (Body)"/>
      </rPr>
      <t>extensionistas</t>
    </r>
  </si>
  <si>
    <t>5.8.1</t>
  </si>
  <si>
    <t>¿Existe un mecanismo reconocido de solución de reclamos y disputas para todos los interesados?</t>
  </si>
  <si>
    <t>Entre los interesados se encuentran los miembros de la comunidad, los trabajadores y los pequeños agricultores.</t>
  </si>
  <si>
    <t>5.9.1</t>
  </si>
  <si>
    <t>Ingreso promedio de producción en la unidad de certificación</t>
  </si>
  <si>
    <t>Moneda local por tonelada de caña</t>
  </si>
  <si>
    <r>
      <t xml:space="preserve">Se puede </t>
    </r>
    <r>
      <rPr>
        <sz val="12"/>
        <rFont val="Calibri (Body)"/>
      </rPr>
      <t>estimar</t>
    </r>
    <r>
      <rPr>
        <sz val="12"/>
        <rFont val="Calibri"/>
        <family val="2"/>
        <scheme val="minor"/>
      </rPr>
      <t xml:space="preserve"> usando datos alineados con el </t>
    </r>
    <r>
      <rPr>
        <sz val="12"/>
        <rFont val="Calibri (Body)"/>
      </rPr>
      <t>Diario de Campo</t>
    </r>
    <r>
      <rPr>
        <sz val="12"/>
        <rFont val="Calibri"/>
        <family val="2"/>
        <scheme val="minor"/>
      </rPr>
      <t>.</t>
    </r>
  </si>
  <si>
    <t>Costo promedio de producción en la unidad de certificación</t>
  </si>
  <si>
    <r>
      <t xml:space="preserve">Se puede </t>
    </r>
    <r>
      <rPr>
        <sz val="12"/>
        <rFont val="Calibri (Body)"/>
      </rPr>
      <t>estimar</t>
    </r>
    <r>
      <rPr>
        <sz val="12"/>
        <rFont val="Calibri"/>
        <family val="2"/>
        <scheme val="minor"/>
      </rPr>
      <t xml:space="preserve">, usando datos alineados con el </t>
    </r>
    <r>
      <rPr>
        <sz val="12"/>
        <rFont val="Calibri (Body)"/>
      </rPr>
      <t>Diario de Campo</t>
    </r>
    <r>
      <rPr>
        <sz val="12"/>
        <rFont val="Calibri"/>
        <family val="2"/>
        <scheme val="minor"/>
      </rPr>
      <t>.</t>
    </r>
  </si>
  <si>
    <t>7.1.1</t>
  </si>
  <si>
    <t>¿Se ha proporcionado la lista de las fincas y se ha definido la administración del grupo?</t>
  </si>
  <si>
    <t>Por favor, envíe la lista a través de Bonsucro Connect y prepárese para el organismo de certificación. Los siguientes datos deber completarse en la lista de las fincas. Especifique el punto de contacto en la organización responsable de gestionar el cumplimiento del Estándar de Producción Bonsucro para Pequeños Agricultores. Si hay agricultores individuales, estos deben aceptar recibir la auditoría y ser parte del proceso de certificación.</t>
  </si>
  <si>
    <t>7.1.2</t>
  </si>
  <si>
    <r>
      <t xml:space="preserve">Número de fincas que han completado el </t>
    </r>
    <r>
      <rPr>
        <sz val="12"/>
        <rFont val="Calibri (Body)"/>
      </rPr>
      <t>Diario de Campo</t>
    </r>
    <r>
      <rPr>
        <sz val="12"/>
        <rFont val="Calibri"/>
        <family val="2"/>
        <scheme val="minor"/>
      </rPr>
      <t xml:space="preserve"> o que han registrado la información del </t>
    </r>
    <r>
      <rPr>
        <sz val="12"/>
        <rFont val="Calibri (Body)"/>
      </rPr>
      <t>Diario de Campo</t>
    </r>
    <r>
      <rPr>
        <sz val="12"/>
        <rFont val="Calibri"/>
        <family val="2"/>
        <scheme val="minor"/>
      </rPr>
      <t xml:space="preserve"> en otro lugar.</t>
    </r>
  </si>
  <si>
    <r>
      <t xml:space="preserve">Los insumos del </t>
    </r>
    <r>
      <rPr>
        <sz val="12"/>
        <rFont val="Calibri (Body)"/>
      </rPr>
      <t xml:space="preserve">Diario de Campo </t>
    </r>
    <r>
      <rPr>
        <sz val="12"/>
        <rFont val="Calibri"/>
        <family val="2"/>
        <scheme val="minor"/>
      </rPr>
      <t xml:space="preserve">de la finca pueden registrarse en un sistema de gestión de caña o en una herramienta de recopilación de datos de la finca basada en </t>
    </r>
    <r>
      <rPr>
        <sz val="12"/>
        <rFont val="Calibri (Body)"/>
      </rPr>
      <t>otras</t>
    </r>
    <r>
      <rPr>
        <sz val="12"/>
        <rFont val="Calibri"/>
        <family val="2"/>
        <scheme val="minor"/>
      </rPr>
      <t xml:space="preserve"> aplicaciones, pero los datos deberán ser auditados para cada finca.</t>
    </r>
  </si>
  <si>
    <t>7.2.1</t>
  </si>
  <si>
    <t>Número de pequeños agricultores capacitados en Buenas prácticas (sin incluir la salud y la seguridad)</t>
  </si>
  <si>
    <r>
      <t xml:space="preserve">Por ejemplo, los requisitos </t>
    </r>
    <r>
      <rPr>
        <sz val="12"/>
        <rFont val="Calibri (Body)"/>
      </rPr>
      <t>de cultivo/agrícolas</t>
    </r>
    <r>
      <rPr>
        <sz val="12"/>
        <rFont val="Calibri"/>
        <family val="2"/>
        <scheme val="minor"/>
      </rPr>
      <t xml:space="preserve">/sociales/ ambientales en zonas de alto riesgo. Esto es responsabilidad del grupo y está relacionado con la </t>
    </r>
    <r>
      <rPr>
        <sz val="12"/>
        <rFont val="Calibri (Body)"/>
      </rPr>
      <t xml:space="preserve">gestión </t>
    </r>
    <r>
      <rPr>
        <sz val="12"/>
        <rFont val="Calibri"/>
        <family val="2"/>
        <scheme val="minor"/>
      </rPr>
      <t>de la caña.</t>
    </r>
  </si>
  <si>
    <t>7.3.1</t>
  </si>
  <si>
    <t xml:space="preserve">Número de inspecciones internas que se han llevado a cabo. </t>
  </si>
  <si>
    <t>La inspección interna puede llevarse a cabo mientras se completa la Calculadora Bonsucro. No hay un requisito mínimo de muestreo, pero debe abarcar al menos una finca por comunidad o grupo. El número de inspecciones internas debe aumentar anualmente.</t>
  </si>
  <si>
    <t>7.4.1</t>
  </si>
  <si>
    <t>¿El grupo controla los volúmenes de caña de azúcar producidos y vendidos?</t>
  </si>
  <si>
    <t>5.7.1</t>
  </si>
  <si>
    <t>Porcentaje de expansión de campo verde/abierto o de nuevos proyectos de caña de azúcar contemplados en el EIAS</t>
  </si>
  <si>
    <t>Después de la certificación inicial, cualquier cambio o proyecto de gran escala sobre el uso de la tierra que afecte más del 10% de los miembros del grupo deberá estar cubierto por el ESIA.</t>
  </si>
  <si>
    <t>Resultados del grupo</t>
  </si>
  <si>
    <t>Puntuación (%)</t>
  </si>
  <si>
    <t>¿Es elegible para la certificación?</t>
  </si>
  <si>
    <t>Indicador</t>
  </si>
  <si>
    <t>Requisito de cumplimiento</t>
  </si>
  <si>
    <t>Resultado</t>
  </si>
  <si>
    <t>Cumple con la ley</t>
  </si>
  <si>
    <t>Sí</t>
  </si>
  <si>
    <t>El derecho a usar la tierra y el agua puede demonstrarse.</t>
  </si>
  <si>
    <t>Se respeta la edad mínima de los trabajadores y de los menores de edad en las las fincas familiares.</t>
  </si>
  <si>
    <t>Peligroso&gt;18 años, No peligroso &gt;13, 14, o 15 años dependiendo si la finca familiar y la ratificación del convenio C138 de la OIT o de la ley nacional</t>
  </si>
  <si>
    <t>Vea la pestaña "Cálculos".</t>
  </si>
  <si>
    <t>No hay presencia de trabajo forzoso u obligatorio.</t>
  </si>
  <si>
    <t xml:space="preserve">2.1.3 </t>
  </si>
  <si>
    <t>No hay discriminación.</t>
  </si>
  <si>
    <t>Se respeta el derecho de todos los trabajadores a formar y unirse a sindicatos y negociar colectivamente.</t>
  </si>
  <si>
    <t>Se registran los accidentes laborales.</t>
  </si>
  <si>
    <t>2.2.2</t>
  </si>
  <si>
    <t>Se evalúan los principales riesgos para la salud y la seguridad. Se implementan medidas de mitigación de riesgos.</t>
  </si>
  <si>
    <t>Se utiliza el equipo de protección personal (EPP) adecuado.</t>
  </si>
  <si>
    <t xml:space="preserve">Porcentaje de los agricultores capacitados en materia de salud y de seguridad por año. </t>
  </si>
  <si>
    <t>Todos los trabajadores tienen acceso a cantidades suficientes de agua potable.</t>
  </si>
  <si>
    <t xml:space="preserve">Todos los trabajadores tienen acceso a primeros auxilios y provisiones para la respuesta a emergencias. </t>
  </si>
  <si>
    <t xml:space="preserve">2.3.1 </t>
  </si>
  <si>
    <t xml:space="preserve">La relación entre el salario inicial más bajo, incluidas las prestaciones y el salario mínimo establecidos por la ley. </t>
  </si>
  <si>
    <t>Proporción &gt;1</t>
  </si>
  <si>
    <t xml:space="preserve">Número máximo de horas trabajadas (horas normales y extra) </t>
  </si>
  <si>
    <t xml:space="preserve">2.4.1 </t>
  </si>
  <si>
    <t>Hay un contrato o un documento equivalente</t>
  </si>
  <si>
    <t>Rendimiento de la producción</t>
  </si>
  <si>
    <t>Tc/ha por encima del rendimiento previsto en el mapa de cultivos por gota</t>
  </si>
  <si>
    <t xml:space="preserve">Porcentaje de las áreas definidas a nivel nacional o internacional como legalmente protegidas o clasificadas como áreas de Alto Valor de Conservación (AAVC) plantadas con caña de azúcar después de la fecha límite de los cinco años anteriores a la primera fecha de evaluación.  </t>
  </si>
  <si>
    <t>Las cuestiones ambientales clave están contempladas en un plan de gestión de impacto ambiental (PGIA) apropiado y aplicado.</t>
  </si>
  <si>
    <r>
      <rPr>
        <sz val="12"/>
        <rFont val="Calibri"/>
        <family val="2"/>
        <scheme val="minor"/>
      </rPr>
      <t xml:space="preserve">Relación entre el N y el P de los fertilizantes aplicados (expresada en la ec. de fosfatasa) al fertilizante N y P recomendado por el análisis </t>
    </r>
    <r>
      <rPr>
        <sz val="12"/>
        <rFont val="Calibri (Body)"/>
      </rPr>
      <t>de suelo</t>
    </r>
    <r>
      <rPr>
        <sz val="12"/>
        <rFont val="Calibri"/>
        <family val="2"/>
        <scheme val="minor"/>
      </rPr>
      <t xml:space="preserve"> y foliar (expresado en la ec. de fosfato) </t>
    </r>
  </si>
  <si>
    <t>&lt;5% por encima de lo recomendado</t>
  </si>
  <si>
    <t>See Calculations Tab</t>
  </si>
  <si>
    <t>Agroquímicos aplicados por héctareas y por año</t>
  </si>
  <si>
    <t>&lt;5 kg de ingrediente activo por héctarea y por año</t>
  </si>
  <si>
    <t xml:space="preserve">4.1.6 </t>
  </si>
  <si>
    <t>Agroquímicos prohibidos aplicados por héctaras y por año</t>
  </si>
  <si>
    <t>El uso eficiente de agua para la caña irrigada</t>
  </si>
  <si>
    <t>&gt;90 kg/ha producción por mm de agua utilizada</t>
  </si>
  <si>
    <t>Porcentaje de tierra cubierta de rastrojos o de hojas después de la zafra.</t>
  </si>
  <si>
    <t>&gt;30%</t>
  </si>
  <si>
    <t xml:space="preserve">Porcentaje de los campos con muestras que indiquen análisis dentro de los límites aceptables para el pH. </t>
  </si>
  <si>
    <t>&gt;80%</t>
  </si>
  <si>
    <t>Contenido de azúcar recuperable teorético de caña.</t>
  </si>
  <si>
    <t>&gt;10%</t>
  </si>
  <si>
    <t>Contenido total de azúcares fermentables de la caña, expresado como invertidos (TSAI)</t>
  </si>
  <si>
    <t>&gt;120 kg / t de caña</t>
  </si>
  <si>
    <t>Porcentaje de expansión de campo verde/abierto o de nuevos proyectos de caña de azúcar contemplados en la EIAS.</t>
  </si>
  <si>
    <t xml:space="preserve">Existencia del uso de un mecanismo de resolución de reclamos y disputas reconocido y accesible para todas las partes interesadas. </t>
  </si>
  <si>
    <t>La producción de caña de azúcar es rentable.</t>
  </si>
  <si>
    <t>Yes (&gt;0 USD por tonelada de caña)</t>
  </si>
  <si>
    <t>Identifique el grupo y el administrador.</t>
  </si>
  <si>
    <t>Envíe la lista de las fincas</t>
  </si>
  <si>
    <t xml:space="preserve">7.1.2 </t>
  </si>
  <si>
    <t>Calculadora de las fincas certificadas (porcentaje del objetivo)</t>
  </si>
  <si>
    <t>20% antes del primer año de certificación + 20% cada año después</t>
  </si>
  <si>
    <t>Proporcione capacitación a las fincas dentro de la unidad de certificación (porcentaje del objetivo)</t>
  </si>
  <si>
    <t>Realice inspecciones internas para verificar el cumplimiento.</t>
  </si>
  <si>
    <t>Trazabilidad de volúmenes de producción y venta de caña</t>
  </si>
  <si>
    <t>Cálculos</t>
  </si>
  <si>
    <r>
      <rPr>
        <sz val="12"/>
        <rFont val="Calibri"/>
        <family val="2"/>
        <scheme val="minor"/>
      </rPr>
      <t xml:space="preserve">Por favor, tenga en cuenta que los cálculos aún están en desarrollo en algunos casos y serán revisados con base en la información recibida en la segunda consulta y en la retroalimentación. Por favor lea: cuando se necesiten más cálculos para comprender la </t>
    </r>
    <r>
      <rPr>
        <sz val="12"/>
        <rFont val="Calibri (Body)"/>
      </rPr>
      <t>salida</t>
    </r>
    <r>
      <rPr>
        <sz val="12"/>
        <rFont val="Calibri"/>
        <family val="2"/>
        <scheme val="minor"/>
      </rPr>
      <t xml:space="preserve"> de los resultados y determinar el cumplimiento, la fórmula se comparte aquí. </t>
    </r>
  </si>
  <si>
    <t>Entradas</t>
  </si>
  <si>
    <t>Cálculos intermedios</t>
  </si>
  <si>
    <t>Resultado(s)</t>
  </si>
  <si>
    <t>Cumplimiento</t>
  </si>
  <si>
    <t>Respete la edad mínima requerida de los trabajadores y de los niños en las fincas familiares.</t>
  </si>
  <si>
    <t>Edad requerida para trabajo peligroso</t>
  </si>
  <si>
    <t>Trabajo peligroso</t>
  </si>
  <si>
    <t>Edad para trabajo peligroso</t>
  </si>
  <si>
    <r>
      <t xml:space="preserve">Edad requerida para trabajo no peligroso (Convenio C138/ mínimo </t>
    </r>
    <r>
      <rPr>
        <sz val="12"/>
        <rFont val="Calibri (Body)"/>
      </rPr>
      <t>de</t>
    </r>
    <r>
      <rPr>
        <sz val="12"/>
        <rFont val="Calibri"/>
        <family val="2"/>
        <scheme val="minor"/>
      </rPr>
      <t xml:space="preserve"> Bonsucro)</t>
    </r>
  </si>
  <si>
    <t>Trabajo no peligroso en fincas familiares</t>
  </si>
  <si>
    <t>Edad para trabajo no peligroso</t>
  </si>
  <si>
    <t>Proporcione capacitación a las fincas comprendidas en la unidad de certificación</t>
  </si>
  <si>
    <t>Año de la certificación</t>
  </si>
  <si>
    <t>Capacitación obtenida</t>
  </si>
  <si>
    <r>
      <rPr>
        <sz val="12"/>
        <rFont val="Calibri (Body)"/>
      </rPr>
      <t>Oferta</t>
    </r>
    <r>
      <rPr>
        <sz val="12"/>
        <rFont val="Calibri"/>
        <family val="2"/>
        <scheme val="minor"/>
      </rPr>
      <t xml:space="preserve"> de capacitación actual</t>
    </r>
  </si>
  <si>
    <t>Número de fincas en la unidad de certificación</t>
  </si>
  <si>
    <t>Capacitación esperada</t>
  </si>
  <si>
    <t>Capacitación requierida Año 1</t>
  </si>
  <si>
    <t>Capacitación requierida Año 2</t>
  </si>
  <si>
    <t>Capacitación requierida Año 3</t>
  </si>
  <si>
    <t>Capacitación requierida Año 4</t>
  </si>
  <si>
    <t>Capacitación requierida Año 5</t>
  </si>
  <si>
    <t>Porcentaje de capacitación requerida</t>
  </si>
  <si>
    <t>Diarios de Campo/ Diarios de Producción completados por las fincas comprendidas en la unidad de certificación</t>
  </si>
  <si>
    <t>Porcentaje de los Diarios de Producción/Diarios de Campo de las fincas completados</t>
  </si>
  <si>
    <r>
      <t xml:space="preserve">Los </t>
    </r>
    <r>
      <rPr>
        <sz val="12"/>
        <rFont val="Calibri (Body)"/>
      </rPr>
      <t>Diarios de Campo</t>
    </r>
    <r>
      <rPr>
        <sz val="12"/>
        <rFont val="Calibri"/>
        <family val="2"/>
        <scheme val="minor"/>
      </rPr>
      <t xml:space="preserve"> </t>
    </r>
    <r>
      <rPr>
        <sz val="12"/>
        <rFont val="Calibri (Body)"/>
      </rPr>
      <t>actualess</t>
    </r>
    <r>
      <rPr>
        <sz val="12"/>
        <rFont val="Calibri"/>
        <family val="2"/>
        <scheme val="minor"/>
      </rPr>
      <t xml:space="preserve"> están completos.</t>
    </r>
  </si>
  <si>
    <t>Porcentaje requerido</t>
  </si>
  <si>
    <r>
      <rPr>
        <sz val="12"/>
        <rFont val="Calibri (Body)"/>
      </rPr>
      <t xml:space="preserve">Diarios de Campo </t>
    </r>
    <r>
      <rPr>
        <sz val="12"/>
        <rFont val="Calibri"/>
        <family val="2"/>
        <scheme val="minor"/>
      </rPr>
      <t>completos         Año 1</t>
    </r>
  </si>
  <si>
    <r>
      <rPr>
        <sz val="12"/>
        <rFont val="Calibri (Body)"/>
      </rPr>
      <t xml:space="preserve">Diarios de Campo </t>
    </r>
    <r>
      <rPr>
        <sz val="12"/>
        <rFont val="Calibri"/>
        <family val="2"/>
        <scheme val="minor"/>
      </rPr>
      <t>completos         Año 2</t>
    </r>
  </si>
  <si>
    <r>
      <rPr>
        <sz val="12"/>
        <rFont val="Calibri (Body)"/>
      </rPr>
      <t xml:space="preserve">Diarios de Campo </t>
    </r>
    <r>
      <rPr>
        <sz val="12"/>
        <rFont val="Calibri"/>
        <family val="2"/>
        <scheme val="minor"/>
      </rPr>
      <t>completos         Año 3</t>
    </r>
  </si>
  <si>
    <r>
      <rPr>
        <sz val="12"/>
        <rFont val="Calibri (Body)"/>
      </rPr>
      <t xml:space="preserve">Diarios de Campo </t>
    </r>
    <r>
      <rPr>
        <sz val="12"/>
        <rFont val="Calibri"/>
        <family val="2"/>
        <scheme val="minor"/>
      </rPr>
      <t>completos         Año 4</t>
    </r>
  </si>
  <si>
    <r>
      <rPr>
        <sz val="12"/>
        <rFont val="Calibri (Body)"/>
      </rPr>
      <t xml:space="preserve">Diarios de Campo </t>
    </r>
    <r>
      <rPr>
        <sz val="12"/>
        <rFont val="Calibri"/>
        <family val="2"/>
        <scheme val="minor"/>
      </rPr>
      <t>completos         Año 5</t>
    </r>
  </si>
  <si>
    <t xml:space="preserve">Los servicios de extensión están en marcha. </t>
  </si>
  <si>
    <t xml:space="preserve">Número de trabajadores de extensión </t>
  </si>
  <si>
    <r>
      <rPr>
        <sz val="12"/>
        <rFont val="Calibri (Body)"/>
      </rPr>
      <t>Proporción</t>
    </r>
    <r>
      <rPr>
        <sz val="12"/>
        <rFont val="Calibri"/>
        <family val="2"/>
        <scheme val="minor"/>
      </rPr>
      <t xml:space="preserve"> de trabajadores de extensión por agricultor</t>
    </r>
  </si>
  <si>
    <t>Número de agricultores</t>
  </si>
  <si>
    <t>Relación entre el salario inicial más bajo, con las prestaciones incluidas, y el salario mínimo y las prestaciones exigidas por la ley</t>
  </si>
  <si>
    <t>El salario mínimo más bajo</t>
  </si>
  <si>
    <t>Proporción pagada</t>
  </si>
  <si>
    <t>El salario mínimo establecido por la ley</t>
  </si>
  <si>
    <r>
      <t xml:space="preserve">Superficie </t>
    </r>
    <r>
      <rPr>
        <sz val="12"/>
        <rFont val="Calibri (Body)"/>
      </rPr>
      <t>irrigada</t>
    </r>
    <r>
      <rPr>
        <sz val="12"/>
        <rFont val="Calibri"/>
        <family val="2"/>
        <scheme val="minor"/>
      </rPr>
      <t>, ha</t>
    </r>
  </si>
  <si>
    <r>
      <t xml:space="preserve">Rendimientos en la zona </t>
    </r>
    <r>
      <rPr>
        <sz val="12"/>
        <rFont val="Calibri (Body)"/>
      </rPr>
      <t>irrigada</t>
    </r>
  </si>
  <si>
    <t>Total de la caña de azúcar producida</t>
  </si>
  <si>
    <r>
      <t xml:space="preserve">Rendimiento de los </t>
    </r>
    <r>
      <rPr>
        <sz val="12"/>
        <rFont val="Calibri (Body)"/>
      </rPr>
      <t>cultivos</t>
    </r>
    <r>
      <rPr>
        <sz val="12"/>
        <rFont val="Calibri"/>
        <family val="2"/>
        <scheme val="minor"/>
      </rPr>
      <t xml:space="preserve"> secano</t>
    </r>
  </si>
  <si>
    <r>
      <t xml:space="preserve">Superficie total de </t>
    </r>
    <r>
      <rPr>
        <sz val="12"/>
        <rFont val="Calibri (Body)"/>
      </rPr>
      <t>cosechada</t>
    </r>
    <r>
      <rPr>
        <sz val="12"/>
        <rFont val="Calibri"/>
        <family val="2"/>
        <scheme val="minor"/>
      </rPr>
      <t>, ha</t>
    </r>
  </si>
  <si>
    <r>
      <t xml:space="preserve">Toneladas de caña totales de la superficie </t>
    </r>
    <r>
      <rPr>
        <sz val="12"/>
        <rFont val="Calibri (Body)"/>
      </rPr>
      <t>irrigada</t>
    </r>
    <r>
      <rPr>
        <sz val="12"/>
        <rFont val="Calibri"/>
        <family val="2"/>
        <scheme val="minor"/>
      </rPr>
      <t xml:space="preserve">. </t>
    </r>
  </si>
  <si>
    <t>Toneladas totales de la caña de la zona de secano</t>
  </si>
  <si>
    <r>
      <t>Objetivo del rendimiento (</t>
    </r>
    <r>
      <rPr>
        <sz val="12"/>
        <rFont val="Calibri (Body)"/>
      </rPr>
      <t>irrigación</t>
    </r>
    <r>
      <rPr>
        <sz val="12"/>
        <rFont val="Calibri"/>
        <family val="2"/>
        <scheme val="minor"/>
      </rPr>
      <t xml:space="preserve">), tc/ha de producción por mapa de goteo. </t>
    </r>
  </si>
  <si>
    <t>Uso eficiente de agua para la caña de regadío</t>
  </si>
  <si>
    <t>Rendimiento (irrigado)</t>
  </si>
  <si>
    <t>Agua aplicada, m3/ha</t>
  </si>
  <si>
    <t>Toda el agua utilizada en la caña irrigada</t>
  </si>
  <si>
    <t>Resultado kg de caña/ha por mm de agua utilizada</t>
  </si>
  <si>
    <t>Requisito métrico para el uso eficiente del agua (kg caña/ha) / mm</t>
  </si>
  <si>
    <t>Contenido teórico recuperable de azúcar de caña</t>
  </si>
  <si>
    <t>Pureza del jugo crudo</t>
  </si>
  <si>
    <t>Recuperación general teórica</t>
  </si>
  <si>
    <r>
      <t xml:space="preserve">Relación entre el N y P de los fertilizantes aplicados (expresador en la ec. de fosfatasa) y el N y el P de los fertilizantes recomendados en el análisis </t>
    </r>
    <r>
      <rPr>
        <sz val="12"/>
        <rFont val="Calibri (Body)"/>
      </rPr>
      <t>del suelo o foliar,</t>
    </r>
    <r>
      <rPr>
        <sz val="12"/>
        <rFont val="Calibri"/>
        <family val="2"/>
        <scheme val="minor"/>
      </rPr>
      <t>(expresada en la ec. del fosfato)</t>
    </r>
  </si>
  <si>
    <r>
      <t xml:space="preserve">Fertilizante total del elemento N recomendado en el análisis </t>
    </r>
    <r>
      <rPr>
        <sz val="12"/>
        <rFont val="Calibri (Body)"/>
      </rPr>
      <t>del suelo</t>
    </r>
    <r>
      <rPr>
        <sz val="12"/>
        <rFont val="Calibri"/>
        <family val="2"/>
        <scheme val="minor"/>
      </rPr>
      <t xml:space="preserve"> o foliar, en toneladas</t>
    </r>
  </si>
  <si>
    <t>Abono total del elemento P205 recomendado en el análisisdel suelo o foliar, en toneladas</t>
  </si>
  <si>
    <t>5% por encima de lo recomendado</t>
  </si>
  <si>
    <t>Fertilizante del elemento N total aplicado, en toneladas</t>
  </si>
  <si>
    <t>Fertilizante del elemento P205 total aplicado, en toneladas</t>
  </si>
  <si>
    <t>Equivalente del P total recomendado, en toneladas</t>
  </si>
  <si>
    <t>Equivalente del P total aplicado, en toneladas</t>
  </si>
  <si>
    <t>Porcentaje de los campos con muestras que indiquen análisis dentro de los límites aceptables de pH</t>
  </si>
  <si>
    <t>Campos con muestras tomadas</t>
  </si>
  <si>
    <t>Requisito métrico para las pruebas positivas dentro del rango de 5.0 a 8.0</t>
  </si>
  <si>
    <t>Campos con muestras positivas</t>
  </si>
  <si>
    <t>Porcentaje de conformidad</t>
  </si>
  <si>
    <t>Contenido total de azúcares de la caña, expresado en TSAI.</t>
  </si>
  <si>
    <t>Requisito métrico</t>
  </si>
  <si>
    <t>kg / t de caña</t>
  </si>
  <si>
    <t>Reducir la relación azúcar/sacarosa en la caña</t>
  </si>
  <si>
    <t>Contenido total de azúcares de la caña, expresado como azúcares reductores</t>
  </si>
  <si>
    <t>Resultados generales</t>
  </si>
  <si>
    <t>Conformidad general con indicadores fundamentales</t>
  </si>
  <si>
    <t>Número del indicador</t>
  </si>
  <si>
    <t>Conformidad con indicador fundamental</t>
  </si>
  <si>
    <t>Conformidad con indicador no fundamental</t>
  </si>
  <si>
    <t>Relación azúcares reductores/sacarosa en la</t>
  </si>
  <si>
    <t>Incluye al personal de extensión del gobierno, cooperativas, ONG e ingenios. Los trabajadores de extensión son aquellos que hablan y apoyan a los agricultores en la toma de decisiones (por ejemplo, si hay algún problema con los pesticidas, o para pruebas de nuevas variedades).</t>
  </si>
  <si>
    <t>Los servicios de extensión están activos - proporción 1:</t>
  </si>
  <si>
    <t>Proporción 1 oficial de extensión: 500 productores</t>
  </si>
  <si>
    <t>Área de las fincas donde se deja la cubierta de rastrojos u hojas después de la cosecha</t>
  </si>
  <si>
    <r>
      <t xml:space="preserve">Objetivo del rendimiento </t>
    </r>
    <r>
      <rPr>
        <sz val="12"/>
        <rFont val="Calibri"/>
        <family val="2"/>
        <scheme val="minor"/>
      </rPr>
      <t xml:space="preserve">(secano) tc/ha de producción por mapa de goteo. </t>
    </r>
  </si>
  <si>
    <t>Superficie cosechada (irrigada), ha</t>
  </si>
  <si>
    <t>umbral métrico &gt;10%</t>
  </si>
  <si>
    <t>Relación entre el fertilizante aplicado (equivalente en fosfato) y el recomendado en el análisis del suelo o foliar, (equivalente en fosfato)</t>
  </si>
  <si>
    <r>
      <t xml:space="preserve">Por favor, lea lo siguiente: Esta información debe ser completada por el administrador del grupo. Los datos deben </t>
    </r>
    <r>
      <rPr>
        <sz val="12"/>
        <rFont val="Calibri"/>
        <family val="2"/>
        <scheme val="minor"/>
      </rPr>
      <t>i</t>
    </r>
    <r>
      <rPr>
        <sz val="12"/>
        <rFont val="Calibri (Body)"/>
      </rPr>
      <t>ngresarse</t>
    </r>
    <r>
      <rPr>
        <sz val="12"/>
        <rFont val="Calibri"/>
        <family val="2"/>
        <scheme val="minor"/>
      </rPr>
      <t xml:space="preserve"> e</t>
    </r>
    <r>
      <rPr>
        <sz val="12"/>
        <color theme="1"/>
        <rFont val="Calibri"/>
        <family val="2"/>
        <scheme val="minor"/>
      </rPr>
      <t>n relación con todo el grupo de granjas [propuestas] en la unidad de certificación . En varias líneas de entrada es posible usar estimaciones basadas en la información de Diarios de Campo completados o de otras fuentes de información a nivel del campo. Esto se menciona en la columna E, "Nota". Por favor, escriba exactament</t>
    </r>
    <r>
      <rPr>
        <sz val="12"/>
        <rFont val="Calibri"/>
        <family val="2"/>
        <scheme val="minor"/>
      </rPr>
      <t>e Sí o No (no "S" o "N")</t>
    </r>
    <r>
      <rPr>
        <sz val="12"/>
        <color theme="1"/>
        <rFont val="Calibri"/>
        <family val="2"/>
        <scheme val="minor"/>
      </rPr>
      <t xml:space="preserve"> cuando la unidad indique Sí/No. La calculadora del grupo debe completarse una vez por grupo. Este documento debe usarse junto con el Estandar de Producción Bonsucro para Pequeños Agricultores.</t>
    </r>
  </si>
  <si>
    <r>
      <t xml:space="preserve">Por favor, lea: El Estándar de Producción para Pequeños Agricultores de Bonsucro se utiliza para determinar los resultados y los niveles de cumplimiento de los pequeños agricultores que hayan participado en la recopilación de datos para la Calculadora Bonsucro para Pequeños Agricultores. Si los datos son incompletos en la Calculadora Bonsucro, el resultado se mostrará como </t>
    </r>
    <r>
      <rPr>
        <sz val="12"/>
        <rFont val="Calibri"/>
        <family val="2"/>
        <scheme val="minor"/>
      </rPr>
      <t>"no cumple</t>
    </r>
    <r>
      <rPr>
        <sz val="12"/>
        <color theme="1"/>
        <rFont val="Calibri"/>
        <family val="2"/>
        <scheme val="minor"/>
      </rPr>
      <t xml:space="preserve">".El indicador básico debe cumplirse al 100 % y el indicador no básico debe ser superior al 60 % para ser elegible para la certificación. Los indicadores fundamentales se destacan con color azul en la columna A. </t>
    </r>
  </si>
  <si>
    <t xml:space="preserve">Changes from previous versions </t>
  </si>
  <si>
    <t>Version</t>
  </si>
  <si>
    <t>Tab</t>
  </si>
  <si>
    <t>Line</t>
  </si>
  <si>
    <t>Note</t>
  </si>
  <si>
    <t>Published</t>
  </si>
  <si>
    <t>The Bonsucro® Calculator and its content is copyright of “Bonsucro®” - © « Bonsucro®» 2010-2030. All rights reserved.</t>
  </si>
  <si>
    <t>Bonsucro® prohibits any modification of part or all of the contents in any form.</t>
  </si>
  <si>
    <t>Si desea informar un error en las fórmulas o el formato de la calculadora, comuníquese con Bonsucro en Standards@bonsucro.com.</t>
  </si>
  <si>
    <t>1.1</t>
  </si>
  <si>
    <t>Versión 1.2</t>
  </si>
  <si>
    <t>Publicación inicial en español</t>
  </si>
  <si>
    <t>Junio 2022</t>
  </si>
  <si>
    <t>Resultado de cumplimiento agregado para indicadores no fundamentales.</t>
  </si>
  <si>
    <r>
      <t xml:space="preserve">Tasa de aprobación de los indicadores </t>
    </r>
    <r>
      <rPr>
        <b/>
        <sz val="12"/>
        <color theme="1"/>
        <rFont val="Calibri"/>
        <family val="2"/>
        <scheme val="minor"/>
      </rPr>
      <t>fundamentales</t>
    </r>
  </si>
  <si>
    <r>
      <t xml:space="preserve">Resultado de indicadores </t>
    </r>
    <r>
      <rPr>
        <b/>
        <sz val="12"/>
        <color theme="1"/>
        <rFont val="Calibri"/>
        <family val="2"/>
        <scheme val="minor"/>
      </rPr>
      <t>fundamentales</t>
    </r>
    <r>
      <rPr>
        <sz val="12"/>
        <color theme="1"/>
        <rFont val="Calibri"/>
        <family val="2"/>
        <scheme val="minor"/>
      </rPr>
      <t xml:space="preserve"> que cumplen</t>
    </r>
  </si>
  <si>
    <r>
      <t xml:space="preserve">Tasa de aprobación de los indicadores </t>
    </r>
    <r>
      <rPr>
        <b/>
        <sz val="12"/>
        <color theme="1"/>
        <rFont val="Calibri"/>
        <family val="2"/>
        <scheme val="minor"/>
      </rPr>
      <t>no fundamentales</t>
    </r>
  </si>
  <si>
    <r>
      <t xml:space="preserve">Resultado de indicadores </t>
    </r>
    <r>
      <rPr>
        <b/>
        <sz val="12"/>
        <color theme="1"/>
        <rFont val="Calibri"/>
        <family val="2"/>
        <scheme val="minor"/>
      </rPr>
      <t>no fundamentales</t>
    </r>
    <r>
      <rPr>
        <sz val="12"/>
        <color theme="1"/>
        <rFont val="Calibri"/>
        <family val="2"/>
        <scheme val="minor"/>
      </rPr>
      <t xml:space="preserve"> que cumplen</t>
    </r>
  </si>
  <si>
    <t>Conformidad general con indicadores no fundamentales</t>
  </si>
  <si>
    <t>Entrada</t>
  </si>
  <si>
    <t>Escoger</t>
  </si>
  <si>
    <t>SHF Calc v1.2 SP</t>
  </si>
  <si>
    <t>Esta lista comienza a partir de la publicación de la versión 1.1 de la Calculadora del grupo de pequeños productores de Bonsucro em español y captura los cambios implementados por las versiones posteriores.</t>
  </si>
  <si>
    <t>Si tiene alguna pregunta sobre la calculadora, comuníquese con su organismo de certificación; si no tiene un contrato con un organismo de certificación, comuníquese con Bonsucro en standards@bonsucro.com.</t>
  </si>
  <si>
    <t>1.2</t>
  </si>
  <si>
    <t>Datos del grupo</t>
  </si>
  <si>
    <t>4 al 11</t>
  </si>
  <si>
    <t>6 al 66</t>
  </si>
  <si>
    <t>Mayo 2024</t>
  </si>
  <si>
    <t>inclusión de una lista desplegable para respuestas Sí /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</si>
</sst>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_);_(* \(#,##0.00\);_(* &quot;-&quot;??_);_(@_)"/>
  </numFmts>
  <fonts count="30">
    <font>
      <sz val="12"/>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2"/>
      <color rgb="FFFF0000"/>
      <name val="Calibri"/>
      <family val="2"/>
      <scheme val="minor"/>
    </font>
    <font>
      <sz val="12"/>
      <color rgb="FFFF0000"/>
      <name val="Calibri (Body)"/>
    </font>
    <font>
      <sz val="12"/>
      <name val="Calibri"/>
      <family val="2"/>
      <scheme val="minor"/>
    </font>
    <font>
      <sz val="12"/>
      <color rgb="FF000000"/>
      <name val="Calibri"/>
      <family val="2"/>
      <scheme val="minor"/>
    </font>
    <font>
      <vertAlign val="superscript"/>
      <sz val="12"/>
      <name val="Calibri (Body)"/>
    </font>
    <font>
      <b/>
      <sz val="12"/>
      <color theme="1"/>
      <name val="Calibri"/>
      <family val="2"/>
      <scheme val="minor"/>
    </font>
    <font>
      <sz val="12"/>
      <color theme="0"/>
      <name val="Calibri"/>
      <family val="2"/>
      <scheme val="minor"/>
    </font>
    <font>
      <sz val="12"/>
      <name val="Calibri (Body)"/>
    </font>
    <font>
      <sz val="12"/>
      <color theme="1"/>
      <name val="Calibri (Body)"/>
    </font>
    <font>
      <sz val="11"/>
      <color theme="0"/>
      <name val="Calibri"/>
      <family val="2"/>
      <scheme val="minor"/>
    </font>
    <font>
      <sz val="22"/>
      <color theme="0"/>
      <name val="Trebuchet MS"/>
      <family val="2"/>
    </font>
    <font>
      <sz val="8"/>
      <color theme="0" tint="-0.14999847407452621"/>
      <name val="Trebuchet MS"/>
      <family val="2"/>
    </font>
    <font>
      <sz val="18"/>
      <color theme="0"/>
      <name val="Trebuchet MS"/>
      <family val="2"/>
    </font>
    <font>
      <sz val="20"/>
      <color theme="0"/>
      <name val="Trebuchet MS"/>
      <family val="2"/>
    </font>
    <font>
      <sz val="12"/>
      <color theme="0"/>
      <name val="Trebuchet MS"/>
      <family val="2"/>
    </font>
    <font>
      <sz val="9"/>
      <color rgb="FF97D700"/>
      <name val="Trebuchet MS"/>
      <family val="2"/>
    </font>
    <font>
      <sz val="9"/>
      <color theme="0"/>
      <name val="Trebuchet MS"/>
      <family val="2"/>
    </font>
    <font>
      <sz val="9"/>
      <color theme="1"/>
      <name val="Trebuchet MS"/>
      <family val="2"/>
    </font>
    <font>
      <b/>
      <sz val="11"/>
      <color rgb="FF003A5D"/>
      <name val="Trebuchet MS"/>
      <family val="2"/>
    </font>
    <font>
      <sz val="11"/>
      <color theme="1" tint="0.34998626667073579"/>
      <name val="Trebuchet MS"/>
      <family val="2"/>
    </font>
    <font>
      <sz val="11"/>
      <color theme="1"/>
      <name val="Trebuchet MS"/>
      <family val="2"/>
    </font>
    <font>
      <sz val="10"/>
      <color theme="4" tint="-0.249977111117893"/>
      <name val="Trebuchet MS"/>
      <family val="2"/>
    </font>
    <font>
      <sz val="10"/>
      <color theme="1"/>
      <name val="Trebuchet MS"/>
      <family val="2"/>
    </font>
    <font>
      <sz val="8"/>
      <name val="Trebuchet MS"/>
      <family val="2"/>
    </font>
    <font>
      <sz val="16"/>
      <name val="Calibri"/>
      <family val="2"/>
    </font>
    <font>
      <sz val="12"/>
      <name val="Calibri"/>
      <family val="2"/>
    </font>
  </fonts>
  <fills count="13">
    <fill>
      <patternFill patternType="none"/>
    </fill>
    <fill>
      <patternFill patternType="gray125"/>
    </fill>
    <fill>
      <patternFill patternType="solid">
        <fgColor rgb="FF003B5C"/>
        <bgColor indexed="64"/>
      </patternFill>
    </fill>
    <fill>
      <patternFill patternType="solid">
        <fgColor rgb="FF003B5C"/>
        <bgColor rgb="FF000000"/>
      </patternFill>
    </fill>
    <fill>
      <patternFill patternType="solid">
        <fgColor rgb="FFFFFF00"/>
        <bgColor rgb="FF000000"/>
      </patternFill>
    </fill>
    <fill>
      <patternFill patternType="solid">
        <fgColor rgb="FF64BE28"/>
        <bgColor indexed="64"/>
      </patternFill>
    </fill>
    <fill>
      <patternFill patternType="solid">
        <fgColor rgb="FF00B0F0"/>
        <bgColor indexed="64"/>
      </patternFill>
    </fill>
    <fill>
      <patternFill patternType="solid">
        <fgColor theme="0"/>
        <bgColor indexed="64"/>
      </patternFill>
    </fill>
    <fill>
      <patternFill patternType="solid">
        <fgColor rgb="FF003A5D"/>
        <bgColor indexed="64"/>
      </patternFill>
    </fill>
    <fill>
      <patternFill patternType="solid">
        <fgColor rgb="FF92D400"/>
        <bgColor indexed="64"/>
      </patternFill>
    </fill>
    <fill>
      <patternFill patternType="solid">
        <fgColor rgb="FFF3F6F7"/>
        <bgColor indexed="64"/>
      </patternFill>
    </fill>
    <fill>
      <patternFill patternType="solid">
        <fgColor indexed="13"/>
        <bgColor indexed="64"/>
      </patternFill>
    </fill>
    <fill>
      <patternFill patternType="solid">
        <fgColor indexed="13"/>
        <bgColor indexed="8"/>
      </patternFill>
    </fill>
  </fills>
  <borders count="14">
    <border>
      <left/>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theme="0"/>
      </left>
      <right style="medium">
        <color theme="0"/>
      </right>
      <top style="medium">
        <color theme="0"/>
      </top>
      <bottom style="medium">
        <color theme="0"/>
      </bottom>
      <diagonal/>
    </border>
    <border>
      <left style="medium">
        <color theme="0"/>
      </left>
      <right style="thick">
        <color theme="0"/>
      </right>
      <top style="medium">
        <color theme="0"/>
      </top>
      <bottom style="medium">
        <color rgb="FF92D400"/>
      </bottom>
      <diagonal/>
    </border>
    <border>
      <left style="thick">
        <color theme="0"/>
      </left>
      <right style="thick">
        <color theme="0"/>
      </right>
      <top/>
      <bottom style="medium">
        <color rgb="FF92D400"/>
      </bottom>
      <diagonal/>
    </border>
    <border>
      <left style="medium">
        <color theme="0"/>
      </left>
      <right style="thick">
        <color theme="0"/>
      </right>
      <top style="medium">
        <color theme="0"/>
      </top>
      <bottom/>
      <diagonal/>
    </border>
    <border>
      <left style="thick">
        <color theme="0"/>
      </left>
      <right style="thick">
        <color theme="0"/>
      </right>
      <top style="medium">
        <color rgb="FF92D400"/>
      </top>
      <bottom style="thick">
        <color theme="0"/>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1" fillId="0" borderId="0"/>
  </cellStyleXfs>
  <cellXfs count="126">
    <xf numFmtId="0" fontId="0" fillId="0" borderId="0" xfId="0"/>
    <xf numFmtId="0" fontId="6" fillId="0" borderId="0" xfId="0" applyFont="1" applyAlignment="1">
      <alignment horizontal="left" vertical="center"/>
    </xf>
    <xf numFmtId="0" fontId="0" fillId="0" borderId="0" xfId="0" applyAlignment="1">
      <alignment vertical="center"/>
    </xf>
    <xf numFmtId="0" fontId="7"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top" wrapText="1"/>
    </xf>
    <xf numFmtId="0" fontId="6" fillId="0" borderId="0" xfId="0" applyFont="1" applyAlignment="1">
      <alignment vertical="center"/>
    </xf>
    <xf numFmtId="0" fontId="4" fillId="0" borderId="0" xfId="0" applyFont="1" applyAlignment="1">
      <alignment vertical="center" wrapText="1"/>
    </xf>
    <xf numFmtId="0" fontId="7" fillId="0" borderId="0" xfId="0" applyFont="1" applyAlignment="1">
      <alignment vertical="center"/>
    </xf>
    <xf numFmtId="0" fontId="6" fillId="0" borderId="0" xfId="0" applyFont="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6" fillId="4" borderId="3"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 fillId="0" borderId="4" xfId="0" applyFont="1" applyBorder="1" applyAlignment="1">
      <alignment horizontal="left" vertical="center" wrapText="1"/>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10" fillId="5" borderId="3" xfId="0" applyFont="1" applyFill="1" applyBorder="1"/>
    <xf numFmtId="0" fontId="10" fillId="5" borderId="3" xfId="0" applyFont="1" applyFill="1" applyBorder="1" applyAlignment="1">
      <alignment wrapText="1"/>
    </xf>
    <xf numFmtId="0" fontId="0" fillId="0" borderId="3" xfId="0" applyBorder="1" applyAlignment="1">
      <alignment wrapText="1"/>
    </xf>
    <xf numFmtId="9" fontId="0" fillId="0" borderId="3" xfId="2" applyFont="1" applyBorder="1"/>
    <xf numFmtId="0" fontId="0" fillId="0" borderId="3" xfId="0" applyBorder="1"/>
    <xf numFmtId="0" fontId="0" fillId="0" borderId="0" xfId="0" applyAlignment="1">
      <alignment horizontal="center" wrapText="1"/>
    </xf>
    <xf numFmtId="0" fontId="0" fillId="6" borderId="6" xfId="0" applyFill="1" applyBorder="1"/>
    <xf numFmtId="0" fontId="0" fillId="0" borderId="6" xfId="0" applyBorder="1" applyAlignment="1">
      <alignment wrapText="1"/>
    </xf>
    <xf numFmtId="0" fontId="0" fillId="0" borderId="6" xfId="0" applyBorder="1"/>
    <xf numFmtId="0" fontId="0" fillId="0" borderId="3" xfId="0" applyBorder="1" applyAlignment="1">
      <alignment horizontal="center"/>
    </xf>
    <xf numFmtId="9" fontId="0" fillId="0" borderId="6" xfId="0" applyNumberFormat="1" applyBorder="1" applyAlignment="1">
      <alignment wrapText="1"/>
    </xf>
    <xf numFmtId="9" fontId="0" fillId="0" borderId="6" xfId="2" applyFont="1" applyBorder="1"/>
    <xf numFmtId="2" fontId="0" fillId="0" borderId="6" xfId="0" applyNumberFormat="1" applyBorder="1"/>
    <xf numFmtId="9" fontId="0" fillId="0" borderId="7" xfId="2" applyFont="1" applyBorder="1"/>
    <xf numFmtId="9" fontId="0" fillId="0" borderId="7" xfId="0" applyNumberFormat="1" applyBorder="1"/>
    <xf numFmtId="9" fontId="0" fillId="0" borderId="6" xfId="2" applyFont="1" applyBorder="1" applyAlignment="1">
      <alignment wrapText="1"/>
    </xf>
    <xf numFmtId="2" fontId="0" fillId="0" borderId="6" xfId="2" applyNumberFormat="1" applyFont="1" applyBorder="1" applyAlignment="1">
      <alignment wrapText="1"/>
    </xf>
    <xf numFmtId="0" fontId="0" fillId="0" borderId="7" xfId="0" applyBorder="1"/>
    <xf numFmtId="0" fontId="0" fillId="6" borderId="3" xfId="0" applyFill="1" applyBorder="1"/>
    <xf numFmtId="0" fontId="4" fillId="0" borderId="3" xfId="0" applyFont="1" applyBorder="1" applyAlignment="1">
      <alignment horizontal="center"/>
    </xf>
    <xf numFmtId="0" fontId="10" fillId="2" borderId="3" xfId="0" applyFont="1" applyFill="1" applyBorder="1" applyAlignment="1">
      <alignment horizontal="center"/>
    </xf>
    <xf numFmtId="0" fontId="10" fillId="2" borderId="3" xfId="0" applyFont="1" applyFill="1" applyBorder="1"/>
    <xf numFmtId="9" fontId="0" fillId="0" borderId="3" xfId="2" applyFont="1" applyBorder="1" applyAlignment="1">
      <alignment wrapText="1"/>
    </xf>
    <xf numFmtId="9" fontId="0" fillId="0" borderId="3" xfId="0" applyNumberFormat="1" applyBorder="1" applyAlignment="1">
      <alignment wrapText="1"/>
    </xf>
    <xf numFmtId="2" fontId="0" fillId="0" borderId="3" xfId="0" applyNumberFormat="1" applyBorder="1" applyAlignment="1">
      <alignment wrapText="1"/>
    </xf>
    <xf numFmtId="0" fontId="0" fillId="0" borderId="0" xfId="0" applyAlignment="1">
      <alignment horizontal="center" vertical="center" wrapText="1"/>
    </xf>
    <xf numFmtId="164" fontId="0" fillId="0" borderId="3" xfId="1" applyFont="1" applyBorder="1" applyAlignment="1">
      <alignment wrapText="1"/>
    </xf>
    <xf numFmtId="164" fontId="0" fillId="0" borderId="3" xfId="0" applyNumberFormat="1" applyBorder="1" applyAlignment="1">
      <alignment wrapText="1"/>
    </xf>
    <xf numFmtId="0" fontId="0" fillId="0" borderId="3" xfId="0" applyBorder="1" applyAlignment="1">
      <alignment horizontal="right"/>
    </xf>
    <xf numFmtId="0" fontId="6" fillId="0" borderId="3" xfId="0" applyFont="1" applyBorder="1" applyAlignment="1">
      <alignment vertical="center" wrapText="1"/>
    </xf>
    <xf numFmtId="0" fontId="0" fillId="0" borderId="6" xfId="0" applyBorder="1" applyAlignment="1">
      <alignment vertical="center" wrapText="1"/>
    </xf>
    <xf numFmtId="0" fontId="4" fillId="0" borderId="3" xfId="0" applyFont="1" applyBorder="1" applyAlignment="1">
      <alignment horizontal="center" wrapText="1"/>
    </xf>
    <xf numFmtId="0" fontId="5" fillId="0" borderId="3" xfId="0" applyFont="1" applyBorder="1" applyAlignment="1">
      <alignment wrapText="1"/>
    </xf>
    <xf numFmtId="0" fontId="0" fillId="0" borderId="3" xfId="0" applyBorder="1" applyAlignment="1">
      <alignment vertical="center" wrapText="1"/>
    </xf>
    <xf numFmtId="0" fontId="6" fillId="0" borderId="3" xfId="0" applyFont="1" applyBorder="1" applyAlignment="1">
      <alignment horizontal="left" vertical="center" wrapText="1"/>
    </xf>
    <xf numFmtId="0" fontId="6" fillId="0" borderId="6" xfId="0" applyFont="1" applyBorder="1" applyAlignment="1">
      <alignment wrapText="1"/>
    </xf>
    <xf numFmtId="0" fontId="6" fillId="0" borderId="3" xfId="0" applyFont="1" applyBorder="1" applyAlignment="1">
      <alignment wrapText="1"/>
    </xf>
    <xf numFmtId="0" fontId="6" fillId="0" borderId="0" xfId="0" applyFont="1" applyAlignment="1">
      <alignment wrapText="1"/>
    </xf>
    <xf numFmtId="2" fontId="6" fillId="0" borderId="3" xfId="0" applyNumberFormat="1" applyFont="1" applyBorder="1" applyAlignment="1">
      <alignment wrapText="1"/>
    </xf>
    <xf numFmtId="0" fontId="0" fillId="0" borderId="0" xfId="0"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9" fontId="0" fillId="0" borderId="6" xfId="2" quotePrefix="1" applyFont="1" applyBorder="1" applyAlignment="1">
      <alignment wrapText="1"/>
    </xf>
    <xf numFmtId="1" fontId="0" fillId="0" borderId="6" xfId="0" applyNumberFormat="1" applyBorder="1" applyAlignment="1">
      <alignment wrapText="1"/>
    </xf>
    <xf numFmtId="0" fontId="3" fillId="5" borderId="3" xfId="0" applyFont="1" applyFill="1" applyBorder="1" applyAlignment="1">
      <alignment vertical="center"/>
    </xf>
    <xf numFmtId="0" fontId="3" fillId="5" borderId="3" xfId="0" applyFont="1" applyFill="1" applyBorder="1" applyAlignment="1">
      <alignment horizontal="center" vertical="center" wrapText="1"/>
    </xf>
    <xf numFmtId="0" fontId="3" fillId="5" borderId="3" xfId="0" applyFont="1" applyFill="1" applyBorder="1" applyAlignment="1">
      <alignment horizontal="center" vertical="center"/>
    </xf>
    <xf numFmtId="1" fontId="0" fillId="0" borderId="6" xfId="0" applyNumberFormat="1" applyBorder="1"/>
    <xf numFmtId="0" fontId="0" fillId="0" borderId="3" xfId="0" applyBorder="1" applyAlignment="1">
      <alignment horizontal="center" wrapText="1"/>
    </xf>
    <xf numFmtId="0" fontId="1" fillId="8" borderId="0" xfId="3" applyFill="1" applyAlignment="1">
      <alignment horizontal="left" vertical="center"/>
    </xf>
    <xf numFmtId="0" fontId="1" fillId="8" borderId="0" xfId="3" applyFill="1" applyAlignment="1">
      <alignment horizontal="left" vertical="center" wrapText="1"/>
    </xf>
    <xf numFmtId="0" fontId="1" fillId="0" borderId="0" xfId="3" applyAlignment="1">
      <alignment horizontal="left" vertical="center"/>
    </xf>
    <xf numFmtId="0" fontId="14" fillId="8" borderId="0" xfId="3" applyFont="1" applyFill="1" applyAlignment="1">
      <alignment horizontal="left" vertical="center"/>
    </xf>
    <xf numFmtId="0" fontId="15" fillId="8" borderId="0" xfId="3" applyFont="1" applyFill="1" applyAlignment="1">
      <alignment horizontal="left" vertical="center" wrapText="1"/>
    </xf>
    <xf numFmtId="0" fontId="16" fillId="8" borderId="0" xfId="3" applyFont="1" applyFill="1" applyAlignment="1">
      <alignment horizontal="left" vertical="center" wrapText="1"/>
    </xf>
    <xf numFmtId="0" fontId="17" fillId="8" borderId="0" xfId="3" applyFont="1" applyFill="1" applyAlignment="1">
      <alignment horizontal="left" vertical="center"/>
    </xf>
    <xf numFmtId="0" fontId="18" fillId="8" borderId="0" xfId="3" applyFont="1" applyFill="1" applyAlignment="1">
      <alignment horizontal="left" vertical="center"/>
    </xf>
    <xf numFmtId="0" fontId="19" fillId="8" borderId="0" xfId="3" applyFont="1" applyFill="1" applyAlignment="1">
      <alignment horizontal="left" vertical="center"/>
    </xf>
    <xf numFmtId="0" fontId="20" fillId="8" borderId="0" xfId="3" applyFont="1" applyFill="1" applyAlignment="1">
      <alignment horizontal="left" vertical="center" wrapText="1"/>
    </xf>
    <xf numFmtId="0" fontId="21" fillId="8" borderId="0" xfId="3" applyFont="1" applyFill="1" applyAlignment="1">
      <alignment horizontal="left" vertical="center"/>
    </xf>
    <xf numFmtId="0" fontId="21" fillId="0" borderId="0" xfId="3" applyFont="1" applyAlignment="1">
      <alignment horizontal="left" vertical="center"/>
    </xf>
    <xf numFmtId="0" fontId="22" fillId="9" borderId="9" xfId="3" applyFont="1" applyFill="1" applyBorder="1" applyAlignment="1">
      <alignment horizontal="center" vertical="center"/>
    </xf>
    <xf numFmtId="0" fontId="22" fillId="9" borderId="9" xfId="3" applyFont="1" applyFill="1" applyBorder="1" applyAlignment="1">
      <alignment horizontal="center" vertical="center" wrapText="1"/>
    </xf>
    <xf numFmtId="0" fontId="23" fillId="8" borderId="0" xfId="3" applyFont="1" applyFill="1" applyAlignment="1">
      <alignment horizontal="center" vertical="center" wrapText="1"/>
    </xf>
    <xf numFmtId="0" fontId="24" fillId="0" borderId="0" xfId="3" applyFont="1"/>
    <xf numFmtId="0" fontId="24" fillId="8" borderId="0" xfId="3" applyFont="1" applyFill="1"/>
    <xf numFmtId="0" fontId="26" fillId="8" borderId="0" xfId="3" applyFont="1" applyFill="1"/>
    <xf numFmtId="0" fontId="26" fillId="0" borderId="0" xfId="3" applyFont="1"/>
    <xf numFmtId="0" fontId="25" fillId="10" borderId="10" xfId="3" applyFont="1" applyFill="1" applyBorder="1" applyAlignment="1">
      <alignment horizontal="center" vertical="center"/>
    </xf>
    <xf numFmtId="0" fontId="25" fillId="10" borderId="11" xfId="3" applyFont="1" applyFill="1" applyBorder="1" applyAlignment="1">
      <alignment horizontal="left" vertical="center" wrapText="1"/>
    </xf>
    <xf numFmtId="0" fontId="25" fillId="10" borderId="11" xfId="3" applyFont="1" applyFill="1" applyBorder="1" applyAlignment="1">
      <alignment horizontal="center" vertical="center"/>
    </xf>
    <xf numFmtId="0" fontId="1" fillId="8" borderId="0" xfId="3" applyFill="1"/>
    <xf numFmtId="0" fontId="1" fillId="8" borderId="0" xfId="3" applyFill="1" applyAlignment="1">
      <alignment horizontal="center" vertical="center"/>
    </xf>
    <xf numFmtId="0" fontId="1" fillId="0" borderId="0" xfId="3"/>
    <xf numFmtId="0" fontId="20" fillId="8" borderId="0" xfId="3" applyFont="1" applyFill="1" applyAlignment="1">
      <alignment horizontal="left" vertical="center"/>
    </xf>
    <xf numFmtId="0" fontId="13" fillId="8" borderId="0" xfId="3" applyFont="1" applyFill="1" applyAlignment="1">
      <alignment horizontal="left" vertical="center" wrapText="1"/>
    </xf>
    <xf numFmtId="0" fontId="13" fillId="8" borderId="0" xfId="3" applyFont="1" applyFill="1" applyAlignment="1">
      <alignment horizontal="center" vertical="center"/>
    </xf>
    <xf numFmtId="0" fontId="13" fillId="8" borderId="0" xfId="3" applyFont="1" applyFill="1"/>
    <xf numFmtId="0" fontId="13" fillId="0" borderId="0" xfId="3" applyFont="1" applyAlignment="1">
      <alignment horizontal="center" vertical="center"/>
    </xf>
    <xf numFmtId="0" fontId="13" fillId="0" borderId="0" xfId="3" applyFont="1" applyAlignment="1">
      <alignment horizontal="left" vertical="center" wrapText="1"/>
    </xf>
    <xf numFmtId="0" fontId="13" fillId="0" borderId="0" xfId="3" applyFont="1"/>
    <xf numFmtId="0" fontId="1" fillId="0" borderId="0" xfId="3" applyAlignment="1">
      <alignment horizontal="center" vertical="center"/>
    </xf>
    <xf numFmtId="0" fontId="1" fillId="0" borderId="0" xfId="3" applyAlignment="1">
      <alignment horizontal="left" vertical="center" wrapText="1"/>
    </xf>
    <xf numFmtId="0" fontId="4" fillId="0" borderId="3" xfId="0" applyFont="1" applyBorder="1" applyAlignment="1">
      <alignment horizontal="center" vertical="center" wrapText="1"/>
    </xf>
    <xf numFmtId="0" fontId="27" fillId="11" borderId="3" xfId="0" applyFont="1" applyFill="1" applyBorder="1" applyAlignment="1" applyProtection="1">
      <alignment horizontal="center" vertical="center" wrapText="1"/>
      <protection locked="0"/>
    </xf>
    <xf numFmtId="17" fontId="28" fillId="12" borderId="3" xfId="3" applyNumberFormat="1" applyFont="1" applyFill="1" applyBorder="1" applyAlignment="1" applyProtection="1">
      <alignment horizontal="center" vertical="center"/>
      <protection locked="0"/>
    </xf>
    <xf numFmtId="0" fontId="29" fillId="12" borderId="3" xfId="0" applyFont="1" applyFill="1" applyBorder="1" applyAlignment="1" applyProtection="1">
      <alignment horizontal="center" vertical="center" wrapText="1"/>
      <protection locked="0"/>
    </xf>
    <xf numFmtId="1" fontId="29" fillId="12" borderId="3" xfId="0" applyNumberFormat="1" applyFont="1" applyFill="1" applyBorder="1" applyAlignment="1" applyProtection="1">
      <alignment horizontal="center" vertical="center" wrapText="1"/>
      <protection locked="0"/>
    </xf>
    <xf numFmtId="0" fontId="25" fillId="10" borderId="11" xfId="3" applyFont="1" applyFill="1" applyBorder="1" applyAlignment="1">
      <alignment horizontal="center" vertical="center" wrapText="1"/>
    </xf>
    <xf numFmtId="49" fontId="25" fillId="10" borderId="12" xfId="3" applyNumberFormat="1" applyFont="1" applyFill="1" applyBorder="1" applyAlignment="1">
      <alignment horizontal="center" vertical="center"/>
    </xf>
    <xf numFmtId="0" fontId="25" fillId="10" borderId="13" xfId="3"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0" xfId="0" applyAlignment="1">
      <alignment horizontal="left" wrapText="1"/>
    </xf>
    <xf numFmtId="0" fontId="0" fillId="0" borderId="5" xfId="0" applyBorder="1" applyAlignment="1">
      <alignment horizontal="center" wrapText="1"/>
    </xf>
    <xf numFmtId="0" fontId="0" fillId="0" borderId="2" xfId="0" applyBorder="1" applyAlignment="1">
      <alignment horizontal="center" wrapText="1"/>
    </xf>
    <xf numFmtId="0" fontId="0" fillId="0" borderId="8" xfId="0" applyBorder="1" applyAlignment="1">
      <alignment horizont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6" fillId="0" borderId="0" xfId="0" applyFont="1" applyAlignment="1">
      <alignment horizontal="left" wrapText="1"/>
    </xf>
    <xf numFmtId="0" fontId="10" fillId="2" borderId="3" xfId="0" applyFont="1" applyFill="1" applyBorder="1" applyAlignment="1">
      <alignment horizontal="center"/>
    </xf>
    <xf numFmtId="0" fontId="10" fillId="2" borderId="1" xfId="0" applyFont="1" applyFill="1" applyBorder="1" applyAlignment="1">
      <alignment horizontal="center"/>
    </xf>
    <xf numFmtId="0" fontId="10" fillId="2" borderId="4" xfId="0" applyFont="1" applyFill="1" applyBorder="1" applyAlignment="1">
      <alignment horizontal="center"/>
    </xf>
    <xf numFmtId="0" fontId="0" fillId="0" borderId="3" xfId="0" applyBorder="1" applyAlignment="1">
      <alignment horizontal="center" wrapText="1"/>
    </xf>
    <xf numFmtId="0" fontId="0" fillId="0" borderId="3" xfId="0" applyBorder="1" applyAlignment="1">
      <alignment horizontal="center" vertical="center" wrapText="1"/>
    </xf>
  </cellXfs>
  <cellStyles count="4">
    <cellStyle name="Comma" xfId="1" builtinId="3"/>
    <cellStyle name="Normal" xfId="0" builtinId="0"/>
    <cellStyle name="Normal 2" xfId="3" xr:uid="{34BC285B-B548-40ED-80C8-3DBD2E4B0245}"/>
    <cellStyle name="Percent" xfId="2" builtinId="5"/>
  </cellStyles>
  <dxfs count="21">
    <dxf>
      <font>
        <color rgb="FFFF0000"/>
      </font>
    </dxf>
    <dxf>
      <font>
        <color rgb="FFFF0000"/>
      </font>
    </dxf>
    <dxf>
      <font>
        <color rgb="FFFF0000"/>
      </font>
    </dxf>
    <dxf>
      <font>
        <color rgb="FFFF0000"/>
      </font>
    </dxf>
    <dxf>
      <font>
        <color theme="1"/>
      </font>
      <fill>
        <patternFill patternType="none">
          <bgColor auto="1"/>
        </patternFill>
      </fill>
    </dxf>
    <dxf>
      <font>
        <color rgb="FFFF0000"/>
      </font>
    </dxf>
    <dxf>
      <font>
        <color rgb="FFFF0000"/>
      </font>
    </dxf>
    <dxf>
      <font>
        <color rgb="FFFF0000"/>
      </font>
    </dxf>
    <dxf>
      <font>
        <color rgb="FFC00000"/>
      </font>
    </dxf>
    <dxf>
      <font>
        <color rgb="FF64BE28"/>
      </font>
    </dxf>
    <dxf>
      <font>
        <color rgb="FF64BE28"/>
      </font>
    </dxf>
    <dxf>
      <font>
        <color rgb="FFC00000"/>
      </font>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Calibri"/>
        <scheme val="none"/>
      </font>
      <fill>
        <patternFill patternType="solid">
          <fgColor indexed="8"/>
          <bgColor indexed="13"/>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dxf>
    <dxf>
      <border outline="0">
        <top style="thin">
          <color auto="1"/>
        </top>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2"/>
        <color theme="0"/>
        <name val="Calibri"/>
        <scheme val="minor"/>
      </font>
      <fill>
        <patternFill patternType="solid">
          <fgColor indexed="64"/>
          <bgColor rgb="FF003B5C"/>
        </patternFill>
      </fill>
      <alignment horizontal="center" vertical="center" textRotation="0" wrapText="0" indent="0" justifyLastLine="0" shrinkToFit="0" readingOrder="0"/>
    </dxf>
  </dxfs>
  <tableStyles count="1" defaultTableStyle="TableStyleMedium9" defaultPivotStyle="PivotStyleMedium7">
    <tableStyle name="Table Style 1" pivot="0" count="0" xr9:uid="{00000000-0011-0000-FFFF-FFFF00000000}"/>
  </tableStyles>
  <colors>
    <mruColors>
      <color rgb="FF64BE28"/>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368756</xdr:colOff>
      <xdr:row>0</xdr:row>
      <xdr:rowOff>90444</xdr:rowOff>
    </xdr:from>
    <xdr:to>
      <xdr:col>6</xdr:col>
      <xdr:colOff>6403</xdr:colOff>
      <xdr:row>3</xdr:row>
      <xdr:rowOff>126844</xdr:rowOff>
    </xdr:to>
    <xdr:pic>
      <xdr:nvPicPr>
        <xdr:cNvPr id="2" name="Picture 1">
          <a:extLst>
            <a:ext uri="{FF2B5EF4-FFF2-40B4-BE49-F238E27FC236}">
              <a16:creationId xmlns:a16="http://schemas.microsoft.com/office/drawing/2014/main" id="{CB2EF91C-AD70-4534-B33B-E2A3B05C3C60}"/>
            </a:ext>
          </a:extLst>
        </xdr:cNvPr>
        <xdr:cNvPicPr>
          <a:picLocks noChangeAspect="1"/>
        </xdr:cNvPicPr>
      </xdr:nvPicPr>
      <xdr:blipFill>
        <a:blip xmlns:r="http://schemas.openxmlformats.org/officeDocument/2006/relationships" r:embed="rId1"/>
        <a:stretch>
          <a:fillRect/>
        </a:stretch>
      </xdr:blipFill>
      <xdr:spPr>
        <a:xfrm>
          <a:off x="11805106" y="90444"/>
          <a:ext cx="1212447" cy="871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393698</xdr:colOff>
      <xdr:row>1</xdr:row>
      <xdr:rowOff>173896</xdr:rowOff>
    </xdr:from>
    <xdr:to>
      <xdr:col>5</xdr:col>
      <xdr:colOff>1476374</xdr:colOff>
      <xdr:row>1</xdr:row>
      <xdr:rowOff>942974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394698" y="377096"/>
          <a:ext cx="1079501" cy="765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749300</xdr:colOff>
      <xdr:row>0</xdr:row>
      <xdr:rowOff>165100</xdr:rowOff>
    </xdr:from>
    <xdr:to>
      <xdr:col>5</xdr:col>
      <xdr:colOff>1828801</xdr:colOff>
      <xdr:row>1</xdr:row>
      <xdr:rowOff>730978</xdr:rowOff>
    </xdr:to>
    <xdr:pic>
      <xdr:nvPicPr>
        <xdr:cNvPr id="2"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255000" y="165100"/>
          <a:ext cx="1079501" cy="7659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228600</xdr:colOff>
      <xdr:row>1</xdr:row>
      <xdr:rowOff>50800</xdr:rowOff>
    </xdr:from>
    <xdr:to>
      <xdr:col>6</xdr:col>
      <xdr:colOff>1308101</xdr:colOff>
      <xdr:row>2</xdr:row>
      <xdr:rowOff>3903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210800" y="254000"/>
          <a:ext cx="1079501" cy="76590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F64" totalsRowShown="0" headerRowDxfId="20" dataDxfId="19" tableBorderDxfId="18">
  <autoFilter ref="A5:F64" xr:uid="{00000000-0009-0000-0100-000001000000}"/>
  <sortState xmlns:xlrd2="http://schemas.microsoft.com/office/spreadsheetml/2017/richdata2" ref="A6:F63">
    <sortCondition ref="A4:A62"/>
  </sortState>
  <tableColumns count="6">
    <tableColumn id="1" xr3:uid="{00000000-0010-0000-0000-000001000000}" name="Indicador relevante (núcleo rojo)" dataDxfId="17"/>
    <tableColumn id="2" xr3:uid="{00000000-0010-0000-0000-000002000000}" name="Solicitud de entrada" dataDxfId="16"/>
    <tableColumn id="3" xr3:uid="{00000000-0010-0000-0000-000003000000}" name="Entrada" dataDxfId="15"/>
    <tableColumn id="4" xr3:uid="{00000000-0010-0000-0000-000004000000}" name="Unidad" dataDxfId="14"/>
    <tableColumn id="5" xr3:uid="{00000000-0010-0000-0000-000005000000}" name="Nota" dataDxfId="13"/>
    <tableColumn id="6" xr3:uid="{00000000-0010-0000-0000-000006000000}" name="Descripción" dataDxfId="1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448A4-FEA6-4F67-A910-A97CF5A753F0}">
  <sheetPr codeName="Sheet1">
    <tabColor rgb="FFFF0000"/>
  </sheetPr>
  <dimension ref="B1:DT18"/>
  <sheetViews>
    <sheetView zoomScale="90" zoomScaleNormal="90" zoomScaleSheetLayoutView="70" zoomScalePageLayoutView="90" workbookViewId="0">
      <selection activeCell="E15" sqref="E15"/>
    </sheetView>
  </sheetViews>
  <sheetFormatPr defaultColWidth="9.83203125" defaultRowHeight="14.5"/>
  <cols>
    <col min="1" max="1" width="3.33203125" style="93" customWidth="1"/>
    <col min="2" max="2" width="9.83203125" style="101" customWidth="1"/>
    <col min="3" max="3" width="15.33203125" style="102" customWidth="1"/>
    <col min="4" max="4" width="15.33203125" style="101" customWidth="1"/>
    <col min="5" max="5" width="106.08203125" style="93" customWidth="1"/>
    <col min="6" max="6" width="20.58203125" style="93" bestFit="1" customWidth="1"/>
    <col min="7" max="7" width="3.33203125" style="93" customWidth="1"/>
    <col min="8" max="16384" width="9.83203125" style="93"/>
  </cols>
  <sheetData>
    <row r="1" spans="2:124" s="69" customFormat="1">
      <c r="C1" s="70"/>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row>
    <row r="2" spans="2:124" s="69" customFormat="1" ht="28.5">
      <c r="B2" s="72" t="s">
        <v>0</v>
      </c>
      <c r="C2" s="73"/>
      <c r="E2" s="74"/>
      <c r="F2" s="74"/>
      <c r="G2" s="74"/>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row>
    <row r="3" spans="2:124" s="69" customFormat="1" ht="23.25" customHeight="1">
      <c r="B3" s="75" t="s">
        <v>317</v>
      </c>
      <c r="C3" s="74"/>
      <c r="D3" s="74"/>
      <c r="E3" s="74"/>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row>
    <row r="4" spans="2:124" s="69" customFormat="1" ht="23.25" customHeight="1">
      <c r="B4" s="76" t="s">
        <v>338</v>
      </c>
      <c r="C4" s="74"/>
      <c r="D4" s="74"/>
      <c r="E4" s="74"/>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row>
    <row r="5" spans="2:124" s="79" customFormat="1" ht="12">
      <c r="B5" s="77" t="s">
        <v>339</v>
      </c>
      <c r="C5" s="78"/>
      <c r="D5" s="78"/>
      <c r="E5" s="78"/>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row>
    <row r="6" spans="2:124" s="79" customFormat="1" ht="12">
      <c r="B6" s="77" t="s">
        <v>340</v>
      </c>
      <c r="C6" s="78"/>
      <c r="D6" s="78"/>
      <c r="E6" s="78"/>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row>
    <row r="7" spans="2:124" s="79" customFormat="1" ht="12">
      <c r="B7" s="77" t="s">
        <v>325</v>
      </c>
      <c r="C7" s="78"/>
      <c r="D7" s="78"/>
      <c r="G7" s="78"/>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row>
    <row r="8" spans="2:124" s="79" customFormat="1" ht="12.5" thickBot="1">
      <c r="B8" s="77"/>
      <c r="C8" s="78"/>
      <c r="D8" s="78"/>
      <c r="G8" s="78"/>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row>
    <row r="9" spans="2:124" s="85" customFormat="1" ht="15" thickBot="1">
      <c r="B9" s="81" t="s">
        <v>318</v>
      </c>
      <c r="C9" s="82" t="s">
        <v>319</v>
      </c>
      <c r="D9" s="81" t="s">
        <v>320</v>
      </c>
      <c r="E9" s="81" t="s">
        <v>321</v>
      </c>
      <c r="F9" s="81" t="s">
        <v>322</v>
      </c>
      <c r="G9" s="83"/>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row>
    <row r="10" spans="2:124" s="86" customFormat="1" ht="14" thickBot="1">
      <c r="B10" s="88" t="s">
        <v>326</v>
      </c>
      <c r="C10" s="89"/>
      <c r="D10" s="90"/>
      <c r="E10" s="89" t="s">
        <v>328</v>
      </c>
      <c r="F10" s="108" t="s">
        <v>329</v>
      </c>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row>
    <row r="11" spans="2:124" s="86" customFormat="1" ht="27.5" thickBot="1">
      <c r="B11" s="109" t="s">
        <v>341</v>
      </c>
      <c r="C11" s="110" t="s">
        <v>162</v>
      </c>
      <c r="D11" s="110" t="s">
        <v>343</v>
      </c>
      <c r="E11" s="110" t="s">
        <v>330</v>
      </c>
      <c r="F11" s="110" t="s">
        <v>345</v>
      </c>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row>
    <row r="12" spans="2:124" s="86" customFormat="1" thickTop="1" thickBot="1">
      <c r="B12" s="88" t="s">
        <v>341</v>
      </c>
      <c r="C12" s="89" t="s">
        <v>342</v>
      </c>
      <c r="D12" s="90" t="s">
        <v>344</v>
      </c>
      <c r="E12" s="89" t="s">
        <v>346</v>
      </c>
      <c r="F12" s="108" t="s">
        <v>345</v>
      </c>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row>
    <row r="13" spans="2:124" s="86" customFormat="1">
      <c r="F13" s="91"/>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row>
    <row r="14" spans="2:124" s="91" customFormat="1">
      <c r="B14" s="92"/>
      <c r="C14" s="70"/>
      <c r="D14" s="92"/>
      <c r="F14" s="86"/>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row>
    <row r="15" spans="2:124" s="91" customFormat="1">
      <c r="B15" s="94" t="s">
        <v>323</v>
      </c>
      <c r="C15" s="70"/>
      <c r="D15" s="92"/>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row>
    <row r="16" spans="2:124" s="91" customFormat="1">
      <c r="B16" s="94" t="s">
        <v>324</v>
      </c>
      <c r="C16" s="95"/>
      <c r="D16" s="96"/>
      <c r="E16" s="97"/>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row>
    <row r="17" spans="2:124" s="91" customFormat="1">
      <c r="C17" s="95"/>
      <c r="D17" s="96"/>
      <c r="E17" s="97"/>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row>
    <row r="18" spans="2:124">
      <c r="B18" s="98"/>
      <c r="C18" s="99"/>
      <c r="D18" s="98"/>
      <c r="E18" s="100"/>
    </row>
  </sheetData>
  <sheetProtection algorithmName="SHA-512" hashValue="6JyhN9A3sn3ohDj3JXptdkNwO8x4r6G/SPbUfWfbqYKjLzAy03Q3ueCkeSOiKHmcN9Oo2hpzpwQ4xxbV6zMHeQ==" saltValue="83MiAu4gI6CpAvx7jszLbA==" spinCount="100000" sheet="1" objects="1" scenarios="1"/>
  <pageMargins left="0.39370078740157483" right="0.39370078740157483" top="0.59055118110236227" bottom="0.59055118110236227"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65"/>
  <sheetViews>
    <sheetView zoomScale="90" zoomScaleNormal="90" workbookViewId="0">
      <selection activeCell="A10" sqref="A10"/>
    </sheetView>
  </sheetViews>
  <sheetFormatPr defaultColWidth="11" defaultRowHeight="15.5"/>
  <cols>
    <col min="1" max="1" width="44.33203125" customWidth="1"/>
    <col min="2" max="2" width="38.58203125" customWidth="1"/>
    <col min="3" max="4" width="21.58203125" customWidth="1"/>
    <col min="5" max="5" width="18.08203125" customWidth="1"/>
    <col min="6" max="6" width="38.25" customWidth="1"/>
  </cols>
  <sheetData>
    <row r="1" spans="1:6">
      <c r="A1" s="111" t="s">
        <v>0</v>
      </c>
      <c r="B1" s="112"/>
      <c r="C1" s="112"/>
      <c r="D1" s="112"/>
      <c r="E1" s="112"/>
    </row>
    <row r="2" spans="1:6" ht="97" customHeight="1">
      <c r="A2" s="113" t="s">
        <v>315</v>
      </c>
      <c r="B2" s="113"/>
      <c r="C2" s="113"/>
      <c r="D2" s="113"/>
      <c r="E2" s="113"/>
      <c r="F2" s="19"/>
    </row>
    <row r="3" spans="1:6" ht="81" customHeight="1">
      <c r="A3" s="113" t="s">
        <v>1</v>
      </c>
      <c r="B3" s="113"/>
      <c r="C3" s="113"/>
      <c r="D3" s="113"/>
      <c r="E3" s="113"/>
    </row>
    <row r="4" spans="1:6" ht="16" customHeight="1"/>
    <row r="5" spans="1:6">
      <c r="A5" s="11" t="s">
        <v>2</v>
      </c>
      <c r="B5" s="11" t="s">
        <v>3</v>
      </c>
      <c r="C5" s="12" t="s">
        <v>336</v>
      </c>
      <c r="D5" s="12" t="s">
        <v>4</v>
      </c>
      <c r="E5" s="12" t="s">
        <v>5</v>
      </c>
      <c r="F5" s="13" t="s">
        <v>6</v>
      </c>
    </row>
    <row r="6" spans="1:6" ht="93">
      <c r="A6" s="7" t="s">
        <v>7</v>
      </c>
      <c r="B6" s="10" t="s">
        <v>8</v>
      </c>
      <c r="C6" s="104"/>
      <c r="D6" s="15"/>
      <c r="E6" s="15"/>
      <c r="F6" s="15" t="s">
        <v>9</v>
      </c>
    </row>
    <row r="7" spans="1:6" ht="21">
      <c r="A7" s="1" t="s">
        <v>7</v>
      </c>
      <c r="B7" s="10" t="s">
        <v>10</v>
      </c>
      <c r="C7" s="105"/>
      <c r="D7" s="15" t="s">
        <v>11</v>
      </c>
      <c r="E7" s="15"/>
      <c r="F7" s="15"/>
    </row>
    <row r="8" spans="1:6" ht="124">
      <c r="A8" s="1" t="s">
        <v>7</v>
      </c>
      <c r="B8" s="10" t="s">
        <v>12</v>
      </c>
      <c r="C8" s="105"/>
      <c r="D8" s="15" t="s">
        <v>11</v>
      </c>
      <c r="E8" s="15"/>
      <c r="F8" s="15" t="s">
        <v>13</v>
      </c>
    </row>
    <row r="9" spans="1:6" ht="46.5">
      <c r="A9" s="1" t="s">
        <v>7</v>
      </c>
      <c r="B9" s="10" t="s">
        <v>14</v>
      </c>
      <c r="C9" s="106"/>
      <c r="D9" s="15" t="s">
        <v>15</v>
      </c>
      <c r="E9" s="15"/>
      <c r="F9" s="15" t="s">
        <v>16</v>
      </c>
    </row>
    <row r="10" spans="1:6" ht="77.5">
      <c r="A10" s="1" t="s">
        <v>7</v>
      </c>
      <c r="B10" s="10" t="s">
        <v>17</v>
      </c>
      <c r="C10" s="107"/>
      <c r="D10" s="15" t="s">
        <v>15</v>
      </c>
      <c r="E10" s="15"/>
      <c r="F10" s="15" t="s">
        <v>18</v>
      </c>
    </row>
    <row r="11" spans="1:6" ht="108.5">
      <c r="A11" s="2" t="s">
        <v>7</v>
      </c>
      <c r="B11" s="10" t="s">
        <v>19</v>
      </c>
      <c r="C11" s="106"/>
      <c r="D11" s="15" t="s">
        <v>20</v>
      </c>
      <c r="E11" s="15"/>
      <c r="F11" s="15" t="s">
        <v>21</v>
      </c>
    </row>
    <row r="12" spans="1:6" ht="31">
      <c r="A12" s="3" t="s">
        <v>22</v>
      </c>
      <c r="B12" s="16" t="s">
        <v>23</v>
      </c>
      <c r="C12" s="106"/>
      <c r="D12" s="15" t="s">
        <v>24</v>
      </c>
      <c r="E12" s="15"/>
      <c r="F12" s="15"/>
    </row>
    <row r="13" spans="1:6" ht="248">
      <c r="A13" s="4" t="s">
        <v>25</v>
      </c>
      <c r="B13" s="10" t="s">
        <v>26</v>
      </c>
      <c r="C13" s="106" t="s">
        <v>337</v>
      </c>
      <c r="D13" s="15" t="s">
        <v>27</v>
      </c>
      <c r="E13" s="15"/>
      <c r="F13" s="15" t="s">
        <v>28</v>
      </c>
    </row>
    <row r="14" spans="1:6" ht="108.5">
      <c r="A14" s="5" t="s">
        <v>29</v>
      </c>
      <c r="B14" s="10" t="s">
        <v>30</v>
      </c>
      <c r="C14" s="106" t="s">
        <v>337</v>
      </c>
      <c r="D14" s="15" t="s">
        <v>27</v>
      </c>
      <c r="E14" s="15"/>
      <c r="F14" s="15" t="s">
        <v>31</v>
      </c>
    </row>
    <row r="15" spans="1:6" ht="62">
      <c r="A15" s="5" t="s">
        <v>32</v>
      </c>
      <c r="B15" s="17" t="s">
        <v>33</v>
      </c>
      <c r="C15" s="106"/>
      <c r="D15" s="15" t="s">
        <v>15</v>
      </c>
      <c r="E15" s="15"/>
      <c r="F15" s="15" t="s">
        <v>34</v>
      </c>
    </row>
    <row r="16" spans="1:6" ht="46.5">
      <c r="A16" s="5" t="s">
        <v>32</v>
      </c>
      <c r="B16" s="17" t="s">
        <v>35</v>
      </c>
      <c r="C16" s="106"/>
      <c r="D16" s="15" t="s">
        <v>15</v>
      </c>
      <c r="E16" s="15"/>
      <c r="F16" s="15" t="s">
        <v>36</v>
      </c>
    </row>
    <row r="17" spans="1:6" ht="155">
      <c r="A17" s="5" t="s">
        <v>32</v>
      </c>
      <c r="B17" s="17" t="s">
        <v>37</v>
      </c>
      <c r="C17" s="106"/>
      <c r="D17" s="15" t="s">
        <v>15</v>
      </c>
      <c r="E17" s="15"/>
      <c r="F17" s="15" t="s">
        <v>38</v>
      </c>
    </row>
    <row r="18" spans="1:6">
      <c r="A18" s="5" t="s">
        <v>39</v>
      </c>
      <c r="B18" s="10" t="s">
        <v>40</v>
      </c>
      <c r="C18" s="106" t="s">
        <v>337</v>
      </c>
      <c r="D18" s="15" t="s">
        <v>27</v>
      </c>
      <c r="E18" s="15"/>
      <c r="F18" s="15"/>
    </row>
    <row r="19" spans="1:6">
      <c r="A19" s="5" t="s">
        <v>41</v>
      </c>
      <c r="B19" s="10" t="s">
        <v>42</v>
      </c>
      <c r="C19" s="106" t="s">
        <v>337</v>
      </c>
      <c r="D19" s="15" t="s">
        <v>27</v>
      </c>
      <c r="E19" s="15"/>
      <c r="F19" s="15"/>
    </row>
    <row r="20" spans="1:6" ht="170.5">
      <c r="A20" s="5" t="s">
        <v>43</v>
      </c>
      <c r="B20" s="10" t="s">
        <v>44</v>
      </c>
      <c r="C20" s="106" t="s">
        <v>337</v>
      </c>
      <c r="D20" s="15" t="s">
        <v>27</v>
      </c>
      <c r="E20" s="15"/>
      <c r="F20" s="15" t="s">
        <v>45</v>
      </c>
    </row>
    <row r="21" spans="1:6" ht="113.15" customHeight="1">
      <c r="A21" s="1" t="s">
        <v>46</v>
      </c>
      <c r="B21" s="10" t="s">
        <v>47</v>
      </c>
      <c r="C21" s="106" t="s">
        <v>337</v>
      </c>
      <c r="D21" s="15" t="s">
        <v>27</v>
      </c>
      <c r="E21" s="15"/>
      <c r="F21" s="15" t="s">
        <v>48</v>
      </c>
    </row>
    <row r="22" spans="1:6" ht="217">
      <c r="A22" s="6" t="s">
        <v>49</v>
      </c>
      <c r="B22" s="10" t="s">
        <v>50</v>
      </c>
      <c r="C22" s="106" t="s">
        <v>337</v>
      </c>
      <c r="D22" s="15" t="s">
        <v>27</v>
      </c>
      <c r="E22" s="15"/>
      <c r="F22" s="59" t="s">
        <v>51</v>
      </c>
    </row>
    <row r="23" spans="1:6" ht="155">
      <c r="A23" s="1" t="s">
        <v>52</v>
      </c>
      <c r="B23" s="10" t="s">
        <v>53</v>
      </c>
      <c r="C23" s="106" t="s">
        <v>337</v>
      </c>
      <c r="D23" s="15" t="s">
        <v>27</v>
      </c>
      <c r="E23" s="15"/>
      <c r="F23" s="15" t="s">
        <v>54</v>
      </c>
    </row>
    <row r="24" spans="1:6" ht="62">
      <c r="A24" s="1" t="s">
        <v>55</v>
      </c>
      <c r="B24" s="10" t="s">
        <v>56</v>
      </c>
      <c r="C24" s="106"/>
      <c r="D24" s="15" t="s">
        <v>20</v>
      </c>
      <c r="E24" s="15"/>
      <c r="F24" s="15" t="s">
        <v>57</v>
      </c>
    </row>
    <row r="25" spans="1:6" ht="31">
      <c r="A25" s="4" t="s">
        <v>58</v>
      </c>
      <c r="B25" s="10" t="s">
        <v>59</v>
      </c>
      <c r="C25" s="106" t="s">
        <v>337</v>
      </c>
      <c r="D25" s="15" t="s">
        <v>27</v>
      </c>
      <c r="E25" s="15"/>
      <c r="F25" s="15"/>
    </row>
    <row r="26" spans="1:6" ht="31">
      <c r="A26" s="6" t="s">
        <v>60</v>
      </c>
      <c r="B26" s="10" t="s">
        <v>61</v>
      </c>
      <c r="C26" s="106" t="s">
        <v>337</v>
      </c>
      <c r="D26" s="15" t="s">
        <v>27</v>
      </c>
      <c r="E26" s="15"/>
      <c r="F26" s="15"/>
    </row>
    <row r="27" spans="1:6" ht="124">
      <c r="A27" s="5" t="s">
        <v>62</v>
      </c>
      <c r="B27" s="18" t="s">
        <v>63</v>
      </c>
      <c r="C27" s="106"/>
      <c r="D27" s="15" t="s">
        <v>64</v>
      </c>
      <c r="E27" s="15"/>
      <c r="F27" s="15" t="s">
        <v>65</v>
      </c>
    </row>
    <row r="28" spans="1:6" ht="201.5">
      <c r="A28" s="5" t="s">
        <v>62</v>
      </c>
      <c r="B28" s="18" t="s">
        <v>66</v>
      </c>
      <c r="C28" s="106"/>
      <c r="D28" s="15" t="s">
        <v>64</v>
      </c>
      <c r="E28" s="15"/>
      <c r="F28" s="15" t="s">
        <v>67</v>
      </c>
    </row>
    <row r="29" spans="1:6" ht="62">
      <c r="A29" s="1" t="s">
        <v>68</v>
      </c>
      <c r="B29" s="10" t="s">
        <v>69</v>
      </c>
      <c r="C29" s="106"/>
      <c r="D29" s="15" t="s">
        <v>15</v>
      </c>
      <c r="E29" s="15"/>
      <c r="F29" s="15" t="s">
        <v>70</v>
      </c>
    </row>
    <row r="30" spans="1:6" ht="77.5">
      <c r="A30" s="1" t="s">
        <v>68</v>
      </c>
      <c r="B30" s="10" t="s">
        <v>71</v>
      </c>
      <c r="C30" s="106"/>
      <c r="D30" s="15" t="s">
        <v>15</v>
      </c>
      <c r="E30" s="15"/>
      <c r="F30" s="15" t="s">
        <v>72</v>
      </c>
    </row>
    <row r="31" spans="1:6" ht="108.5">
      <c r="A31" s="5" t="s">
        <v>73</v>
      </c>
      <c r="B31" s="10" t="s">
        <v>74</v>
      </c>
      <c r="C31" s="106" t="s">
        <v>337</v>
      </c>
      <c r="D31" s="15" t="s">
        <v>27</v>
      </c>
      <c r="E31" s="15"/>
      <c r="F31" s="15" t="s">
        <v>75</v>
      </c>
    </row>
    <row r="32" spans="1:6" ht="59.15" customHeight="1">
      <c r="A32" s="3" t="s">
        <v>76</v>
      </c>
      <c r="B32" s="3" t="s">
        <v>77</v>
      </c>
      <c r="C32" s="106"/>
      <c r="D32" s="15" t="s">
        <v>78</v>
      </c>
      <c r="E32" s="15"/>
      <c r="F32" s="15" t="s">
        <v>79</v>
      </c>
    </row>
    <row r="33" spans="1:6" ht="77.5">
      <c r="A33" s="1" t="s">
        <v>76</v>
      </c>
      <c r="B33" s="10" t="s">
        <v>80</v>
      </c>
      <c r="C33" s="106"/>
      <c r="D33" s="15" t="s">
        <v>78</v>
      </c>
      <c r="E33" s="15"/>
      <c r="F33" s="15" t="s">
        <v>81</v>
      </c>
    </row>
    <row r="34" spans="1:6" ht="46.5">
      <c r="A34" s="1" t="s">
        <v>76</v>
      </c>
      <c r="B34" s="10" t="s">
        <v>82</v>
      </c>
      <c r="C34" s="106"/>
      <c r="D34" s="15" t="s">
        <v>83</v>
      </c>
      <c r="E34" s="15"/>
      <c r="F34" s="15" t="s">
        <v>84</v>
      </c>
    </row>
    <row r="35" spans="1:6" ht="93">
      <c r="A35" s="7" t="s">
        <v>76</v>
      </c>
      <c r="B35" s="10" t="s">
        <v>85</v>
      </c>
      <c r="C35" s="106"/>
      <c r="D35" s="15" t="s">
        <v>83</v>
      </c>
      <c r="E35" s="15"/>
      <c r="F35" s="15" t="s">
        <v>86</v>
      </c>
    </row>
    <row r="36" spans="1:6" ht="93">
      <c r="A36" s="7" t="s">
        <v>76</v>
      </c>
      <c r="B36" s="10" t="s">
        <v>87</v>
      </c>
      <c r="C36" s="106"/>
      <c r="D36" s="15" t="s">
        <v>83</v>
      </c>
      <c r="E36" s="15"/>
      <c r="F36" s="15" t="s">
        <v>86</v>
      </c>
    </row>
    <row r="37" spans="1:6" ht="77.5">
      <c r="A37" s="7" t="s">
        <v>88</v>
      </c>
      <c r="B37" s="10" t="s">
        <v>89</v>
      </c>
      <c r="C37" s="106" t="s">
        <v>337</v>
      </c>
      <c r="D37" s="15" t="s">
        <v>27</v>
      </c>
      <c r="E37" s="15"/>
      <c r="F37" s="15" t="s">
        <v>90</v>
      </c>
    </row>
    <row r="38" spans="1:6" ht="288" customHeight="1">
      <c r="A38" s="8" t="s">
        <v>91</v>
      </c>
      <c r="B38" s="10" t="s">
        <v>92</v>
      </c>
      <c r="C38" s="106" t="s">
        <v>337</v>
      </c>
      <c r="D38" s="15" t="s">
        <v>27</v>
      </c>
      <c r="E38" s="15"/>
      <c r="F38" s="15" t="s">
        <v>93</v>
      </c>
    </row>
    <row r="39" spans="1:6" ht="93">
      <c r="A39" s="9" t="s">
        <v>94</v>
      </c>
      <c r="B39" s="10" t="s">
        <v>95</v>
      </c>
      <c r="C39" s="106"/>
      <c r="D39" s="15" t="s">
        <v>96</v>
      </c>
      <c r="E39" s="15"/>
      <c r="F39" s="15" t="s">
        <v>97</v>
      </c>
    </row>
    <row r="40" spans="1:6" ht="93">
      <c r="A40" s="1" t="s">
        <v>94</v>
      </c>
      <c r="B40" s="10" t="s">
        <v>98</v>
      </c>
      <c r="C40" s="106"/>
      <c r="D40" s="15" t="s">
        <v>99</v>
      </c>
      <c r="E40" s="15"/>
      <c r="F40" s="15" t="s">
        <v>100</v>
      </c>
    </row>
    <row r="41" spans="1:6" ht="108.5">
      <c r="A41" s="1" t="s">
        <v>94</v>
      </c>
      <c r="B41" s="10" t="s">
        <v>101</v>
      </c>
      <c r="C41" s="106" t="s">
        <v>337</v>
      </c>
      <c r="D41" s="15" t="s">
        <v>27</v>
      </c>
      <c r="E41" s="15"/>
      <c r="F41" s="15" t="s">
        <v>102</v>
      </c>
    </row>
    <row r="42" spans="1:6" ht="108.5">
      <c r="A42" s="1" t="s">
        <v>94</v>
      </c>
      <c r="B42" s="10" t="s">
        <v>103</v>
      </c>
      <c r="C42" s="106"/>
      <c r="D42" s="15" t="s">
        <v>104</v>
      </c>
      <c r="E42" s="15"/>
      <c r="F42" s="15" t="s">
        <v>102</v>
      </c>
    </row>
    <row r="43" spans="1:6" ht="108.5">
      <c r="A43" s="1" t="s">
        <v>94</v>
      </c>
      <c r="B43" s="10" t="s">
        <v>105</v>
      </c>
      <c r="C43" s="106"/>
      <c r="D43" s="15" t="s">
        <v>99</v>
      </c>
      <c r="E43" s="15"/>
      <c r="F43" s="15" t="s">
        <v>102</v>
      </c>
    </row>
    <row r="44" spans="1:6" ht="108.5">
      <c r="A44" s="5" t="s">
        <v>106</v>
      </c>
      <c r="B44" s="10" t="s">
        <v>107</v>
      </c>
      <c r="C44" s="106" t="s">
        <v>337</v>
      </c>
      <c r="D44" s="15" t="s">
        <v>27</v>
      </c>
      <c r="E44" s="15"/>
      <c r="F44" s="15" t="s">
        <v>109</v>
      </c>
    </row>
    <row r="45" spans="1:6" ht="46.5">
      <c r="A45" s="8" t="s">
        <v>110</v>
      </c>
      <c r="B45" s="10" t="s">
        <v>111</v>
      </c>
      <c r="C45" s="106" t="s">
        <v>337</v>
      </c>
      <c r="D45" s="15" t="s">
        <v>27</v>
      </c>
      <c r="E45" s="15"/>
      <c r="F45" s="15" t="s">
        <v>112</v>
      </c>
    </row>
    <row r="46" spans="1:6" ht="139.5">
      <c r="A46" s="1" t="s">
        <v>113</v>
      </c>
      <c r="B46" s="10" t="s">
        <v>114</v>
      </c>
      <c r="C46" s="106"/>
      <c r="D46" s="15" t="s">
        <v>115</v>
      </c>
      <c r="E46" s="15"/>
      <c r="F46" s="15" t="s">
        <v>116</v>
      </c>
    </row>
    <row r="47" spans="1:6" ht="31">
      <c r="A47" s="1" t="s">
        <v>117</v>
      </c>
      <c r="B47" s="10" t="s">
        <v>310</v>
      </c>
      <c r="C47" s="106"/>
      <c r="D47" s="15" t="s">
        <v>78</v>
      </c>
      <c r="E47" s="15"/>
      <c r="F47" s="15" t="s">
        <v>118</v>
      </c>
    </row>
    <row r="48" spans="1:6" ht="62">
      <c r="A48" s="9" t="s">
        <v>119</v>
      </c>
      <c r="B48" s="10" t="s">
        <v>120</v>
      </c>
      <c r="C48" s="106"/>
      <c r="D48" s="15" t="s">
        <v>15</v>
      </c>
      <c r="E48" s="15"/>
      <c r="F48" s="15" t="s">
        <v>121</v>
      </c>
    </row>
    <row r="49" spans="1:6" ht="77.5">
      <c r="A49" s="1" t="s">
        <v>119</v>
      </c>
      <c r="B49" s="10" t="s">
        <v>122</v>
      </c>
      <c r="C49" s="106"/>
      <c r="D49" s="15" t="s">
        <v>15</v>
      </c>
      <c r="E49" s="15"/>
      <c r="F49" s="15" t="s">
        <v>123</v>
      </c>
    </row>
    <row r="50" spans="1:6">
      <c r="A50" s="1" t="s">
        <v>124</v>
      </c>
      <c r="B50" s="10" t="s">
        <v>125</v>
      </c>
      <c r="C50" s="106"/>
      <c r="D50" s="15" t="s">
        <v>20</v>
      </c>
      <c r="E50" s="15"/>
      <c r="F50" s="15" t="s">
        <v>126</v>
      </c>
    </row>
    <row r="51" spans="1:6">
      <c r="A51" s="1" t="s">
        <v>124</v>
      </c>
      <c r="B51" s="10" t="s">
        <v>127</v>
      </c>
      <c r="C51" s="106"/>
      <c r="D51" s="15" t="s">
        <v>20</v>
      </c>
      <c r="E51" s="15"/>
      <c r="F51" s="15" t="s">
        <v>126</v>
      </c>
    </row>
    <row r="52" spans="1:6">
      <c r="A52" s="1" t="s">
        <v>124</v>
      </c>
      <c r="B52" s="10" t="s">
        <v>128</v>
      </c>
      <c r="C52" s="106"/>
      <c r="D52" s="15" t="s">
        <v>20</v>
      </c>
      <c r="E52" s="15"/>
      <c r="F52" s="15" t="s">
        <v>126</v>
      </c>
    </row>
    <row r="53" spans="1:6" ht="31">
      <c r="A53" s="1" t="s">
        <v>129</v>
      </c>
      <c r="B53" s="10" t="s">
        <v>130</v>
      </c>
      <c r="C53" s="106" t="s">
        <v>337</v>
      </c>
      <c r="D53" s="15" t="s">
        <v>27</v>
      </c>
      <c r="E53" s="15"/>
      <c r="F53" s="15" t="s">
        <v>131</v>
      </c>
    </row>
    <row r="54" spans="1:6" ht="31">
      <c r="A54" s="1" t="s">
        <v>129</v>
      </c>
      <c r="B54" s="10" t="s">
        <v>132</v>
      </c>
      <c r="C54" s="106"/>
      <c r="D54" s="15" t="s">
        <v>20</v>
      </c>
      <c r="E54" s="15"/>
      <c r="F54" s="15" t="s">
        <v>133</v>
      </c>
    </row>
    <row r="55" spans="1:6" ht="31">
      <c r="A55" s="1" t="s">
        <v>129</v>
      </c>
      <c r="B55" s="10" t="s">
        <v>306</v>
      </c>
      <c r="C55" s="106"/>
      <c r="D55" s="15" t="s">
        <v>20</v>
      </c>
      <c r="E55" s="15"/>
      <c r="F55" s="15" t="s">
        <v>133</v>
      </c>
    </row>
    <row r="56" spans="1:6" ht="170.5">
      <c r="A56" s="7" t="s">
        <v>134</v>
      </c>
      <c r="B56" s="10" t="s">
        <v>135</v>
      </c>
      <c r="C56" s="106"/>
      <c r="D56" s="15" t="s">
        <v>15</v>
      </c>
      <c r="E56" s="15"/>
      <c r="F56" s="15" t="s">
        <v>307</v>
      </c>
    </row>
    <row r="57" spans="1:6" ht="77.5">
      <c r="A57" s="10" t="s">
        <v>136</v>
      </c>
      <c r="B57" s="10" t="s">
        <v>137</v>
      </c>
      <c r="C57" s="106" t="s">
        <v>337</v>
      </c>
      <c r="D57" s="15" t="s">
        <v>27</v>
      </c>
      <c r="E57" s="15"/>
      <c r="F57" s="15" t="s">
        <v>138</v>
      </c>
    </row>
    <row r="58" spans="1:6" ht="46.5">
      <c r="A58" s="1" t="s">
        <v>139</v>
      </c>
      <c r="B58" s="10" t="s">
        <v>140</v>
      </c>
      <c r="C58" s="106"/>
      <c r="D58" s="15" t="s">
        <v>141</v>
      </c>
      <c r="E58" s="15"/>
      <c r="F58" s="15" t="s">
        <v>142</v>
      </c>
    </row>
    <row r="59" spans="1:6" ht="46.5">
      <c r="A59" s="1" t="s">
        <v>139</v>
      </c>
      <c r="B59" s="10" t="s">
        <v>143</v>
      </c>
      <c r="C59" s="106"/>
      <c r="D59" s="15" t="s">
        <v>141</v>
      </c>
      <c r="E59" s="15"/>
      <c r="F59" s="15" t="s">
        <v>144</v>
      </c>
    </row>
    <row r="60" spans="1:6" ht="263.5">
      <c r="A60" s="5" t="s">
        <v>145</v>
      </c>
      <c r="B60" s="10" t="s">
        <v>146</v>
      </c>
      <c r="C60" s="106" t="s">
        <v>337</v>
      </c>
      <c r="D60" s="15" t="s">
        <v>27</v>
      </c>
      <c r="E60" s="15"/>
      <c r="F60" s="15" t="s">
        <v>147</v>
      </c>
    </row>
    <row r="61" spans="1:6" ht="139.5">
      <c r="A61" s="1" t="s">
        <v>148</v>
      </c>
      <c r="B61" s="10" t="s">
        <v>149</v>
      </c>
      <c r="C61" s="106"/>
      <c r="D61" s="15" t="s">
        <v>15</v>
      </c>
      <c r="E61" s="15"/>
      <c r="F61" s="15" t="s">
        <v>150</v>
      </c>
    </row>
    <row r="62" spans="1:6" ht="108.5">
      <c r="A62" s="7" t="s">
        <v>151</v>
      </c>
      <c r="B62" s="10" t="s">
        <v>152</v>
      </c>
      <c r="C62" s="106"/>
      <c r="D62" s="15" t="s">
        <v>15</v>
      </c>
      <c r="E62" s="15"/>
      <c r="F62" s="60" t="s">
        <v>153</v>
      </c>
    </row>
    <row r="63" spans="1:6" ht="155">
      <c r="A63" s="4" t="s">
        <v>154</v>
      </c>
      <c r="B63" s="10" t="s">
        <v>155</v>
      </c>
      <c r="C63" s="106"/>
      <c r="D63" s="15" t="s">
        <v>15</v>
      </c>
      <c r="E63" s="15"/>
      <c r="F63" s="15" t="s">
        <v>156</v>
      </c>
    </row>
    <row r="64" spans="1:6" ht="31">
      <c r="A64" s="1" t="s">
        <v>157</v>
      </c>
      <c r="B64" s="10" t="s">
        <v>158</v>
      </c>
      <c r="C64" s="106" t="s">
        <v>337</v>
      </c>
      <c r="D64" s="15" t="s">
        <v>27</v>
      </c>
      <c r="E64" s="15"/>
    </row>
    <row r="65" spans="1:6" ht="108.5">
      <c r="A65" s="1" t="s">
        <v>159</v>
      </c>
      <c r="B65" s="10" t="s">
        <v>160</v>
      </c>
      <c r="C65" s="14"/>
      <c r="D65" s="15" t="s">
        <v>20</v>
      </c>
      <c r="E65" s="15"/>
      <c r="F65" s="15" t="s">
        <v>161</v>
      </c>
    </row>
  </sheetData>
  <sheetProtection algorithmName="SHA-512" hashValue="TymEGcS7q8PM0zkfTU7MY+3TpmxUTFKZYA8ps8IURqUZbSPDRmiHm26nb26BiTHcZ7vAG1FV0y2Z0LXkSQskFQ==" saltValue="vuFsaCw0G3cW7lk9mhpJJQ==" spinCount="100000" sheet="1" autoFilter="0"/>
  <protectedRanges>
    <protectedRange sqref="A5:F5" name="autofilter"/>
  </protectedRanges>
  <mergeCells count="3">
    <mergeCell ref="A1:E1"/>
    <mergeCell ref="A2:E2"/>
    <mergeCell ref="A3:E3"/>
  </mergeCell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B3FB0F9-460E-4F43-AF34-AF67B97C02DD}">
          <x14:formula1>
            <xm:f>Dropdowns!$A$1:$A$3</xm:f>
          </x14:formula1>
          <xm:sqref>C13:C14 C18:C23 C25:C26 C31 C37:C38 C41 C44:C45 C53 C57 C60 C64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48"/>
  <sheetViews>
    <sheetView tabSelected="1" zoomScale="90" zoomScaleNormal="90" workbookViewId="0">
      <selection activeCell="C11" sqref="C11"/>
    </sheetView>
  </sheetViews>
  <sheetFormatPr defaultColWidth="11" defaultRowHeight="15.5"/>
  <cols>
    <col min="1" max="1" width="21" customWidth="1"/>
    <col min="2" max="3" width="50" customWidth="1"/>
    <col min="4" max="4" width="21.58203125" customWidth="1"/>
    <col min="5" max="5" width="25.83203125" customWidth="1"/>
    <col min="6" max="6" width="26.5" customWidth="1"/>
  </cols>
  <sheetData>
    <row r="1" spans="1:6">
      <c r="A1" t="s">
        <v>162</v>
      </c>
      <c r="B1" t="s">
        <v>327</v>
      </c>
      <c r="C1" s="19"/>
      <c r="F1" s="19"/>
    </row>
    <row r="2" spans="1:6" ht="80.150000000000006" customHeight="1">
      <c r="A2" s="113" t="s">
        <v>316</v>
      </c>
      <c r="B2" s="113"/>
      <c r="C2" s="113"/>
      <c r="D2" s="113"/>
      <c r="E2" s="113"/>
      <c r="F2" s="19"/>
    </row>
    <row r="4" spans="1:6">
      <c r="B4" s="21" t="s">
        <v>301</v>
      </c>
      <c r="C4" s="20" t="s">
        <v>163</v>
      </c>
      <c r="E4" s="19"/>
    </row>
    <row r="5" spans="1:6">
      <c r="B5" s="22" t="s">
        <v>331</v>
      </c>
      <c r="C5" s="23">
        <v>1</v>
      </c>
      <c r="E5" s="19"/>
    </row>
    <row r="6" spans="1:6">
      <c r="B6" s="22" t="s">
        <v>332</v>
      </c>
      <c r="C6" s="23">
        <f>(COUNTIF(E14:E48, "CUMPLE"))/(COUNTIF(E14:E48,"CUMPLE")+COUNTIF(E14:E48,"NO CUMPLE"))</f>
        <v>5.5555555555555552E-2</v>
      </c>
      <c r="E6" s="19"/>
    </row>
    <row r="7" spans="1:6">
      <c r="B7" s="22" t="s">
        <v>333</v>
      </c>
      <c r="C7" s="23">
        <v>0.6</v>
      </c>
      <c r="E7" s="19"/>
    </row>
    <row r="8" spans="1:6" ht="15.75" customHeight="1">
      <c r="B8" s="22" t="s">
        <v>334</v>
      </c>
      <c r="C8" s="23">
        <f>(COUNTIF($F$14:$F$48, "CUMPLE"))/(COUNTIF(F14:F48,"CUMPLE")+COUNTIF(F14:F48,"NO CUMPLE"))</f>
        <v>0.25</v>
      </c>
      <c r="E8" s="19"/>
    </row>
    <row r="9" spans="1:6">
      <c r="B9" s="22" t="s">
        <v>302</v>
      </c>
      <c r="C9" s="103" t="str">
        <f>IF(C6=100%, "CUMPLIMIENTO FUNDAMENTAL CUMPLIDO", "CUMPLIMIENTO FUNDAMENTAL NO CUMPLIDO")</f>
        <v>CUMPLIMIENTO FUNDAMENTAL NO CUMPLIDO</v>
      </c>
      <c r="F9" s="19"/>
    </row>
    <row r="10" spans="1:6" ht="16" customHeight="1">
      <c r="B10" s="22" t="s">
        <v>335</v>
      </c>
      <c r="C10" s="51" t="str">
        <f>IF(C8&gt;=60%, "SE CUMPLIÓ CON EL CUMPLIMIENTO NO BÁSICO", "NO SE CUMPLE EL CUMPLIMIENTO DE LOS REQUISITOS BÁSICOS")</f>
        <v>NO SE CUMPLE EL CUMPLIMIENTO DE LOS REQUISITOS BÁSICOS</v>
      </c>
      <c r="F10" s="19"/>
    </row>
    <row r="11" spans="1:6">
      <c r="B11" s="24" t="s">
        <v>164</v>
      </c>
      <c r="C11" s="68" t="str">
        <f>IF(AND(C9="CUMPLIMIENTO FUNDAMENTAL CUMPLIDO", C10="SE CUMPLIÓ CON EL CUMPLIMIENTO NO BÁSICO"), "YES", "NO")</f>
        <v>NO</v>
      </c>
      <c r="F11" s="19"/>
    </row>
    <row r="12" spans="1:6">
      <c r="C12" s="25"/>
      <c r="D12" s="25"/>
      <c r="F12" s="19"/>
    </row>
    <row r="13" spans="1:6" ht="31">
      <c r="A13" s="64" t="s">
        <v>303</v>
      </c>
      <c r="B13" s="65" t="s">
        <v>165</v>
      </c>
      <c r="C13" s="65" t="s">
        <v>166</v>
      </c>
      <c r="D13" s="66" t="s">
        <v>167</v>
      </c>
      <c r="E13" s="65" t="s">
        <v>304</v>
      </c>
      <c r="F13" s="65" t="s">
        <v>305</v>
      </c>
    </row>
    <row r="14" spans="1:6" ht="16" customHeight="1">
      <c r="A14" s="26" t="s">
        <v>25</v>
      </c>
      <c r="B14" s="27" t="s">
        <v>168</v>
      </c>
      <c r="C14" s="27" t="s">
        <v>169</v>
      </c>
      <c r="D14" s="61" t="str">
        <f>'Datos del grupo'!C$13</f>
        <v>Escoger</v>
      </c>
      <c r="E14" s="39" t="str">
        <f>IF(D14="Sí","CUMPLE","NO CUMPLE")</f>
        <v>NO CUMPLE</v>
      </c>
      <c r="F14" s="29"/>
    </row>
    <row r="15" spans="1:6">
      <c r="A15" s="26" t="s">
        <v>29</v>
      </c>
      <c r="B15" s="27" t="s">
        <v>170</v>
      </c>
      <c r="C15" s="27" t="s">
        <v>169</v>
      </c>
      <c r="D15" s="61" t="str">
        <f>'Datos del grupo'!C$14</f>
        <v>Escoger</v>
      </c>
      <c r="E15" s="39" t="str">
        <f>IF(D15="Sí","CUMPLE","NO CUMPLE")</f>
        <v>NO CUMPLE</v>
      </c>
      <c r="F15" s="29"/>
    </row>
    <row r="16" spans="1:6" ht="46.5">
      <c r="A16" s="26" t="s">
        <v>32</v>
      </c>
      <c r="B16" s="27" t="s">
        <v>171</v>
      </c>
      <c r="C16" s="27" t="s">
        <v>172</v>
      </c>
      <c r="D16" s="27" t="s">
        <v>173</v>
      </c>
      <c r="E16" s="39" t="str">
        <f>Cálculos!G$7</f>
        <v>NO CUMPLE</v>
      </c>
      <c r="F16" s="29"/>
    </row>
    <row r="17" spans="1:6">
      <c r="A17" s="26" t="s">
        <v>39</v>
      </c>
      <c r="B17" s="27" t="s">
        <v>174</v>
      </c>
      <c r="C17" s="27" t="s">
        <v>108</v>
      </c>
      <c r="D17" s="28" t="str">
        <f>'Datos del grupo'!C$18</f>
        <v>Escoger</v>
      </c>
      <c r="E17" s="39" t="str">
        <f>IF(D17="No","CUMPLE","NO CUMPLE")</f>
        <v>NO CUMPLE</v>
      </c>
      <c r="F17" s="29"/>
    </row>
    <row r="18" spans="1:6">
      <c r="A18" s="26" t="s">
        <v>175</v>
      </c>
      <c r="B18" s="27" t="s">
        <v>176</v>
      </c>
      <c r="C18" s="27" t="s">
        <v>108</v>
      </c>
      <c r="D18" s="28" t="str">
        <f>'Datos del grupo'!C$19</f>
        <v>Escoger</v>
      </c>
      <c r="E18" s="39" t="str">
        <f>IF(D18="No","CUMPLE","NO CUMPLE")</f>
        <v>NO CUMPLE</v>
      </c>
      <c r="F18" s="29"/>
    </row>
    <row r="19" spans="1:6" ht="31">
      <c r="A19" s="26" t="s">
        <v>43</v>
      </c>
      <c r="B19" s="27" t="s">
        <v>177</v>
      </c>
      <c r="C19" s="27" t="s">
        <v>169</v>
      </c>
      <c r="D19" s="28" t="str">
        <f>'Datos del grupo'!C$20</f>
        <v>Escoger</v>
      </c>
      <c r="E19" s="39" t="str">
        <f>IF(D19="Sí","CUMPLE","NO CUMPLE")</f>
        <v>NO CUMPLE</v>
      </c>
      <c r="F19" s="29"/>
    </row>
    <row r="20" spans="1:6">
      <c r="A20" s="28" t="s">
        <v>46</v>
      </c>
      <c r="B20" s="27" t="s">
        <v>178</v>
      </c>
      <c r="C20" s="27" t="s">
        <v>169</v>
      </c>
      <c r="D20" s="28" t="str">
        <f>'Datos del grupo'!C$21</f>
        <v>Escoger</v>
      </c>
      <c r="E20" s="29"/>
      <c r="F20" s="39" t="str">
        <f>IF(D20="Sí", "CUMPLE", "NO CUMPLE")</f>
        <v>NO CUMPLE</v>
      </c>
    </row>
    <row r="21" spans="1:6" ht="46.5">
      <c r="A21" s="26" t="s">
        <v>179</v>
      </c>
      <c r="B21" s="27" t="s">
        <v>180</v>
      </c>
      <c r="C21" s="27" t="s">
        <v>169</v>
      </c>
      <c r="D21" s="28" t="str">
        <f>'Datos del grupo'!C$22</f>
        <v>Escoger</v>
      </c>
      <c r="E21" s="39" t="str">
        <f>IF(D21="Sí","CUMPLE","NO CUMPLE")</f>
        <v>NO CUMPLE</v>
      </c>
      <c r="F21" s="29"/>
    </row>
    <row r="22" spans="1:6" ht="31">
      <c r="A22" s="28" t="s">
        <v>52</v>
      </c>
      <c r="B22" s="27" t="s">
        <v>181</v>
      </c>
      <c r="C22" s="27" t="s">
        <v>169</v>
      </c>
      <c r="D22" s="28" t="str">
        <f>'Datos del grupo'!C$23</f>
        <v>Escoger</v>
      </c>
      <c r="E22" s="29"/>
      <c r="F22" s="39" t="str">
        <f>IF(D22="Sí","CUMPLE","NO CUMPLE")</f>
        <v>NO CUMPLE</v>
      </c>
    </row>
    <row r="23" spans="1:6" ht="31">
      <c r="A23" s="28" t="s">
        <v>55</v>
      </c>
      <c r="B23" s="27" t="s">
        <v>182</v>
      </c>
      <c r="C23" s="30">
        <v>1</v>
      </c>
      <c r="D23" s="31">
        <f>'Datos del grupo'!C$24/100</f>
        <v>0</v>
      </c>
      <c r="E23" s="29"/>
      <c r="F23" s="39" t="str">
        <f>IF(D23&gt;0.9, "CUMPLE", "NO CUMPLE")</f>
        <v>NO CUMPLE</v>
      </c>
    </row>
    <row r="24" spans="1:6" ht="31">
      <c r="A24" s="26" t="s">
        <v>58</v>
      </c>
      <c r="B24" s="27" t="s">
        <v>183</v>
      </c>
      <c r="C24" s="27" t="s">
        <v>169</v>
      </c>
      <c r="D24" s="28" t="str">
        <f>'Datos del grupo'!C$25</f>
        <v>Escoger</v>
      </c>
      <c r="E24" s="39" t="str">
        <f>IF(D24="Sí","CUMPLE","NO CUMPLE")</f>
        <v>NO CUMPLE</v>
      </c>
      <c r="F24" s="29"/>
    </row>
    <row r="25" spans="1:6" ht="31">
      <c r="A25" s="26" t="s">
        <v>60</v>
      </c>
      <c r="B25" s="27" t="s">
        <v>184</v>
      </c>
      <c r="C25" s="27" t="s">
        <v>169</v>
      </c>
      <c r="D25" s="28" t="str">
        <f>'Datos del grupo'!C$26</f>
        <v>Escoger</v>
      </c>
      <c r="E25" s="39" t="str">
        <f>IF(D25="Sí","CUMPLE","NO CUMPLE")</f>
        <v>NO CUMPLE</v>
      </c>
      <c r="F25" s="29"/>
    </row>
    <row r="26" spans="1:6" ht="31">
      <c r="A26" s="26" t="s">
        <v>185</v>
      </c>
      <c r="B26" s="27" t="s">
        <v>186</v>
      </c>
      <c r="C26" s="27" t="s">
        <v>187</v>
      </c>
      <c r="D26" s="32" t="e">
        <f>Cálculos!F$37</f>
        <v>#DIV/0!</v>
      </c>
      <c r="E26" s="29" t="e">
        <f>Cálculos!G$37</f>
        <v>#DIV/0!</v>
      </c>
      <c r="F26" s="29"/>
    </row>
    <row r="27" spans="1:6" ht="31">
      <c r="A27" s="28" t="s">
        <v>68</v>
      </c>
      <c r="B27" s="27" t="s">
        <v>188</v>
      </c>
      <c r="C27" s="63" t="str">
        <f>IF('Datos del grupo'!C$29="","", 'Datos del grupo'!C$29)</f>
        <v/>
      </c>
      <c r="D27" s="27" t="str">
        <f>IF('Datos del grupo'!C$30="","", 'Datos del grupo'!C$30)</f>
        <v/>
      </c>
      <c r="E27" s="29"/>
      <c r="F27" s="29" t="str">
        <f>IF(D27&lt;=C27, "CUMPLE", "NO CUMPLE")</f>
        <v>CUMPLE</v>
      </c>
    </row>
    <row r="28" spans="1:6">
      <c r="A28" s="26" t="s">
        <v>189</v>
      </c>
      <c r="B28" s="27" t="s">
        <v>190</v>
      </c>
      <c r="C28" s="27" t="s">
        <v>169</v>
      </c>
      <c r="D28" s="28" t="str">
        <f>'Datos del grupo'!C$31</f>
        <v>Escoger</v>
      </c>
      <c r="E28" s="39" t="str">
        <f>IF(D28="Sí","CUMPLE","NO CUMPLE")</f>
        <v>NO CUMPLE</v>
      </c>
      <c r="F28" s="29"/>
    </row>
    <row r="29" spans="1:6" ht="31">
      <c r="A29" s="28" t="s">
        <v>76</v>
      </c>
      <c r="B29" s="50" t="s">
        <v>191</v>
      </c>
      <c r="C29" s="27" t="s">
        <v>192</v>
      </c>
      <c r="D29" s="27" t="s">
        <v>173</v>
      </c>
      <c r="E29" s="29"/>
      <c r="F29" s="29" t="str">
        <f>Cálculos!F$43</f>
        <v>CUMPLE</v>
      </c>
    </row>
    <row r="30" spans="1:6" ht="77.5">
      <c r="A30" s="26" t="s">
        <v>88</v>
      </c>
      <c r="B30" s="27" t="s">
        <v>193</v>
      </c>
      <c r="C30" s="30">
        <v>0</v>
      </c>
      <c r="D30" s="28" t="str">
        <f>'Datos del grupo'!C$37</f>
        <v>Escoger</v>
      </c>
      <c r="E30" s="39" t="str">
        <f>IF(D30="No","CUMPLE","NO CUMPLE")</f>
        <v>NO CUMPLE</v>
      </c>
      <c r="F30" s="29"/>
    </row>
    <row r="31" spans="1:6" ht="46.5">
      <c r="A31" s="26" t="s">
        <v>91</v>
      </c>
      <c r="B31" s="27" t="s">
        <v>194</v>
      </c>
      <c r="C31" s="27" t="s">
        <v>169</v>
      </c>
      <c r="D31" s="28" t="str">
        <f>'Datos del grupo'!C$38</f>
        <v>Escoger</v>
      </c>
      <c r="E31" s="39" t="str">
        <f>IF(D31="Sí","CUMPLE","NO CUMPLE")</f>
        <v>NO CUMPLE</v>
      </c>
      <c r="F31" s="29"/>
    </row>
    <row r="32" spans="1:6" ht="62">
      <c r="A32" s="28" t="s">
        <v>94</v>
      </c>
      <c r="B32" s="55" t="s">
        <v>195</v>
      </c>
      <c r="C32" s="27" t="s">
        <v>196</v>
      </c>
      <c r="D32" s="27" t="s">
        <v>197</v>
      </c>
      <c r="E32" s="29"/>
      <c r="F32" s="29" t="e">
        <f>Cálculos!G$68</f>
        <v>#DIV/0!</v>
      </c>
    </row>
    <row r="33" spans="1:6">
      <c r="A33" s="26" t="s">
        <v>106</v>
      </c>
      <c r="B33" s="27" t="s">
        <v>198</v>
      </c>
      <c r="C33" s="27" t="s">
        <v>199</v>
      </c>
      <c r="D33" s="32" t="str">
        <f>IF('Datos del grupo'!C$44 ="", "", 'Datos del grupo'!C$44)</f>
        <v>Escoger</v>
      </c>
      <c r="E33" s="39" t="str">
        <f>IF(D33&lt;5, "CUMPLE", "NO CUMPLE")</f>
        <v>NO CUMPLE</v>
      </c>
      <c r="F33" s="29"/>
    </row>
    <row r="34" spans="1:6">
      <c r="A34" s="26" t="s">
        <v>200</v>
      </c>
      <c r="B34" s="27" t="s">
        <v>201</v>
      </c>
      <c r="C34" s="27" t="s">
        <v>108</v>
      </c>
      <c r="D34" s="28" t="str">
        <f>IF('Datos del grupo'!C$45 ="", "", 'Datos del grupo'!C$45)</f>
        <v>Escoger</v>
      </c>
      <c r="E34" s="39" t="str">
        <f>IF(D34="Sí","NO CUMPLE","CUMPLE")</f>
        <v>CUMPLE</v>
      </c>
      <c r="F34" s="29"/>
    </row>
    <row r="35" spans="1:6">
      <c r="A35" s="28" t="s">
        <v>113</v>
      </c>
      <c r="B35" s="27" t="s">
        <v>202</v>
      </c>
      <c r="C35" s="27" t="s">
        <v>203</v>
      </c>
      <c r="D35" s="28" t="e">
        <f>Cálculos!D$57</f>
        <v>#DIV/0!</v>
      </c>
      <c r="E35" s="29"/>
      <c r="F35" s="29" t="e">
        <f>Cálculos!G$53</f>
        <v>#DIV/0!</v>
      </c>
    </row>
    <row r="36" spans="1:6" ht="31">
      <c r="A36" s="28" t="s">
        <v>117</v>
      </c>
      <c r="B36" s="27" t="s">
        <v>204</v>
      </c>
      <c r="C36" s="27" t="s">
        <v>205</v>
      </c>
      <c r="D36" s="33" t="e">
        <f>'Datos del grupo'!C$47/'Datos del grupo'!C$32</f>
        <v>#DIV/0!</v>
      </c>
      <c r="E36" s="29"/>
      <c r="F36" s="29" t="e">
        <f>IF(D36&gt;30%, "CUMPLE", "NO CUMPLE")</f>
        <v>#DIV/0!</v>
      </c>
    </row>
    <row r="37" spans="1:6" ht="31">
      <c r="A37" s="28" t="s">
        <v>119</v>
      </c>
      <c r="B37" s="27" t="s">
        <v>206</v>
      </c>
      <c r="C37" s="27" t="s">
        <v>207</v>
      </c>
      <c r="D37" s="34" t="e">
        <f>Cálculos!D$78</f>
        <v>#DIV/0!</v>
      </c>
      <c r="E37" s="29"/>
      <c r="F37" s="29" t="e">
        <f>Cálculos!G$76</f>
        <v>#DIV/0!</v>
      </c>
    </row>
    <row r="38" spans="1:6">
      <c r="A38" s="28" t="s">
        <v>124</v>
      </c>
      <c r="B38" s="27" t="s">
        <v>208</v>
      </c>
      <c r="C38" s="30" t="s">
        <v>209</v>
      </c>
      <c r="D38" s="35" t="e">
        <f>Cálculos!F$61</f>
        <v>#DIV/0!</v>
      </c>
      <c r="E38" s="29"/>
      <c r="F38" s="29" t="e">
        <f>Cálculos!G$61</f>
        <v>#DIV/0!</v>
      </c>
    </row>
    <row r="39" spans="1:6" ht="31">
      <c r="A39" s="24" t="s">
        <v>129</v>
      </c>
      <c r="B39" s="22" t="s">
        <v>210</v>
      </c>
      <c r="C39" s="30" t="s">
        <v>211</v>
      </c>
      <c r="D39" s="36">
        <f>Cálculos!D$85</f>
        <v>0</v>
      </c>
      <c r="E39" s="29"/>
      <c r="F39" s="39" t="str">
        <f>Cálculos!G$81</f>
        <v>NO CUMPLE</v>
      </c>
    </row>
    <row r="40" spans="1:6" ht="46.5">
      <c r="A40" s="28" t="s">
        <v>159</v>
      </c>
      <c r="B40" s="27" t="s">
        <v>212</v>
      </c>
      <c r="C40" s="30">
        <v>1</v>
      </c>
      <c r="D40" s="62" t="str">
        <f>IF('Datos del grupo'!C$65="", "", 'Datos del grupo'!C$65/100)</f>
        <v/>
      </c>
      <c r="E40" s="29" t="str">
        <f>IF('Datos del grupo'!C$64="","",IF(D40=1,"CUMPLE","NO CUMPLE"))</f>
        <v>NO CUMPLE</v>
      </c>
      <c r="F40" s="29"/>
    </row>
    <row r="41" spans="1:6" ht="46.5">
      <c r="A41" s="28" t="s">
        <v>136</v>
      </c>
      <c r="B41" s="27" t="s">
        <v>213</v>
      </c>
      <c r="C41" s="27" t="s">
        <v>169</v>
      </c>
      <c r="D41" s="28" t="str">
        <f>'Datos del grupo'!C$57</f>
        <v>Escoger</v>
      </c>
      <c r="E41" s="29"/>
      <c r="F41" s="39" t="str">
        <f>IF(D41="Sí","CUMPLE","NO CUMPLE")</f>
        <v>NO CUMPLE</v>
      </c>
    </row>
    <row r="42" spans="1:6">
      <c r="A42" s="28" t="s">
        <v>139</v>
      </c>
      <c r="B42" s="27" t="s">
        <v>214</v>
      </c>
      <c r="C42" s="27" t="s">
        <v>215</v>
      </c>
      <c r="D42" s="67">
        <f>('Datos del grupo'!C$58-'Datos del grupo'!C$59)</f>
        <v>0</v>
      </c>
      <c r="E42" s="29"/>
      <c r="F42" s="39" t="str">
        <f>IF(D42&gt;0, "CUMPLE", "NO CUMPLE")</f>
        <v>NO CUMPLE</v>
      </c>
    </row>
    <row r="43" spans="1:6">
      <c r="A43" s="26" t="s">
        <v>145</v>
      </c>
      <c r="B43" s="27" t="s">
        <v>216</v>
      </c>
      <c r="C43" s="27" t="s">
        <v>217</v>
      </c>
      <c r="D43" s="37" t="str">
        <f>'Datos del grupo'!C$60</f>
        <v>Escoger</v>
      </c>
      <c r="E43" s="39" t="str">
        <f>IF(D43="Sí", "CUMPLE", "NO CUMPLE")</f>
        <v>NO CUMPLE</v>
      </c>
      <c r="F43" s="29"/>
    </row>
    <row r="44" spans="1:6" ht="31">
      <c r="A44" s="26" t="s">
        <v>218</v>
      </c>
      <c r="B44" s="27" t="s">
        <v>219</v>
      </c>
      <c r="C44" s="30" t="s">
        <v>220</v>
      </c>
      <c r="D44" s="33" t="e">
        <f>Cálculos!F$24</f>
        <v>#DIV/0!</v>
      </c>
      <c r="E44" s="29" t="e">
        <f>Cálculos!G$24</f>
        <v>#DIV/0!</v>
      </c>
      <c r="F44" s="29"/>
    </row>
    <row r="45" spans="1:6" ht="31">
      <c r="A45" s="28" t="s">
        <v>151</v>
      </c>
      <c r="B45" s="27" t="s">
        <v>221</v>
      </c>
      <c r="C45" s="30" t="s">
        <v>220</v>
      </c>
      <c r="D45" s="33" t="e">
        <f>Cálculos!F$14</f>
        <v>#DIV/0!</v>
      </c>
      <c r="E45" s="29"/>
      <c r="F45" s="29" t="e">
        <f>Cálculos!G$14</f>
        <v>#DIV/0!</v>
      </c>
    </row>
    <row r="46" spans="1:6">
      <c r="A46" s="28" t="s">
        <v>134</v>
      </c>
      <c r="B46" s="55" t="s">
        <v>308</v>
      </c>
      <c r="C46" s="55" t="s">
        <v>309</v>
      </c>
      <c r="D46" s="28" t="e">
        <f>Cálculos!E$34</f>
        <v>#DIV/0!</v>
      </c>
      <c r="E46" s="29"/>
      <c r="F46" s="29" t="e">
        <f>Cálculos!G$33</f>
        <v>#DIV/0!</v>
      </c>
    </row>
    <row r="47" spans="1:6" ht="31">
      <c r="A47" s="38" t="s">
        <v>154</v>
      </c>
      <c r="B47" s="22" t="s">
        <v>222</v>
      </c>
      <c r="C47" s="27" t="s">
        <v>169</v>
      </c>
      <c r="D47" s="37">
        <f>'Datos del grupo'!C$63</f>
        <v>0</v>
      </c>
      <c r="E47" s="39" t="str">
        <f>IF(D47&gt;0, "CUMPLE", "NO CUMPLE")</f>
        <v>NO CUMPLE</v>
      </c>
      <c r="F47" s="29"/>
    </row>
    <row r="48" spans="1:6">
      <c r="A48" s="38" t="s">
        <v>157</v>
      </c>
      <c r="B48" s="22" t="s">
        <v>223</v>
      </c>
      <c r="C48" s="22" t="s">
        <v>169</v>
      </c>
      <c r="D48" s="37" t="str">
        <f>'Datos del grupo'!C$64</f>
        <v>Escoger</v>
      </c>
      <c r="E48" s="39" t="str">
        <f>IF(D48="Sí", "CUMPLE", "NO CUMPLE")</f>
        <v>NO CUMPLE</v>
      </c>
      <c r="F48" s="29"/>
    </row>
  </sheetData>
  <sheetProtection algorithmName="SHA-512" hashValue="OAhY3yNsevyWwaSfi/YYh8KEFpgwsVM4zfarHC/6fM3VGuG/i6os/hyHZLU2HbrWy0OsPbeKF3b+E9i+QdPkUw==" saltValue="lkLajAW+5mBJdWMwLgFw9A==" spinCount="100000" sheet="1" objects="1" scenarios="1"/>
  <mergeCells count="1">
    <mergeCell ref="A2:E2"/>
  </mergeCells>
  <conditionalFormatting sqref="C6">
    <cfRule type="cellIs" dxfId="11" priority="3" operator="lessThan">
      <formula>100</formula>
    </cfRule>
    <cfRule type="cellIs" dxfId="10" priority="4" operator="equal">
      <formula>100</formula>
    </cfRule>
  </conditionalFormatting>
  <conditionalFormatting sqref="C8">
    <cfRule type="cellIs" dxfId="9" priority="1" operator="greaterThanOrEqual">
      <formula>60</formula>
    </cfRule>
    <cfRule type="cellIs" dxfId="8" priority="2" operator="lessThan">
      <formula>60</formula>
    </cfRule>
  </conditionalFormatting>
  <conditionalFormatting sqref="C9:C10">
    <cfRule type="cellIs" dxfId="7" priority="6" operator="equal">
      <formula>"CORE COMPLIANCE NOT MET"</formula>
    </cfRule>
  </conditionalFormatting>
  <conditionalFormatting sqref="C11">
    <cfRule type="cellIs" dxfId="6" priority="7" operator="equal">
      <formula>"NO"</formula>
    </cfRule>
  </conditionalFormatting>
  <conditionalFormatting sqref="E28">
    <cfRule type="cellIs" dxfId="5" priority="11" operator="equal">
      <formula>"NOT COMPLIANT"</formula>
    </cfRule>
  </conditionalFormatting>
  <conditionalFormatting sqref="E14:F48">
    <cfRule type="cellIs" dxfId="4" priority="5" operator="equal">
      <formula>"CUMPLE"</formula>
    </cfRule>
    <cfRule type="cellIs" dxfId="3" priority="10" operator="equal">
      <formula>"NO CUMPLE"</formula>
    </cfRule>
  </conditionalFormatting>
  <conditionalFormatting sqref="F29">
    <cfRule type="cellIs" dxfId="2" priority="12" operator="equal">
      <formula>"NOT COMPLIANT"</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86"/>
  <sheetViews>
    <sheetView zoomScale="85" zoomScaleNormal="85" workbookViewId="0">
      <selection activeCell="I17" sqref="I17"/>
    </sheetView>
  </sheetViews>
  <sheetFormatPr defaultColWidth="11" defaultRowHeight="15.5"/>
  <cols>
    <col min="1" max="1" width="22" customWidth="1"/>
    <col min="2" max="2" width="21.5" customWidth="1"/>
    <col min="3" max="3" width="21.83203125" customWidth="1"/>
    <col min="4" max="4" width="21.58203125" customWidth="1"/>
    <col min="5" max="5" width="22.08203125" customWidth="1"/>
    <col min="6" max="6" width="26" customWidth="1"/>
    <col min="7" max="7" width="27.08203125" customWidth="1"/>
  </cols>
  <sheetData>
    <row r="1" spans="1:7">
      <c r="A1" t="s">
        <v>224</v>
      </c>
    </row>
    <row r="2" spans="1:7" ht="64" customHeight="1">
      <c r="A2" s="120" t="s">
        <v>225</v>
      </c>
      <c r="B2" s="113"/>
      <c r="C2" s="113"/>
      <c r="D2" s="113"/>
      <c r="E2" s="113"/>
    </row>
    <row r="4" spans="1:7">
      <c r="A4" s="121" t="s">
        <v>165</v>
      </c>
      <c r="B4" s="121"/>
      <c r="C4" s="40" t="s">
        <v>226</v>
      </c>
      <c r="D4" s="122" t="s">
        <v>227</v>
      </c>
      <c r="E4" s="123"/>
      <c r="F4" s="41" t="s">
        <v>228</v>
      </c>
      <c r="G4" s="41" t="s">
        <v>229</v>
      </c>
    </row>
    <row r="7" spans="1:7" ht="31">
      <c r="A7" s="114" t="s">
        <v>32</v>
      </c>
      <c r="B7" s="117" t="s">
        <v>230</v>
      </c>
      <c r="C7" s="22" t="s">
        <v>231</v>
      </c>
      <c r="D7" s="22">
        <v>18</v>
      </c>
      <c r="E7" s="22" t="s">
        <v>232</v>
      </c>
      <c r="F7" s="39" t="str">
        <f>IF(D8&gt;=D7,"CUMPLE","NO CUMPLE")</f>
        <v>NO CUMPLE</v>
      </c>
      <c r="G7" s="39" t="str">
        <f>IF(OR(F9="NO CUMPLE", F7="NO CUMPLE"), "NO CUMPLE", "CUMPLE")</f>
        <v>NO CUMPLE</v>
      </c>
    </row>
    <row r="8" spans="1:7" ht="31">
      <c r="A8" s="115"/>
      <c r="B8" s="118"/>
      <c r="C8" s="22" t="s">
        <v>233</v>
      </c>
      <c r="D8" s="22">
        <f>'Datos del grupo'!C$16</f>
        <v>0</v>
      </c>
      <c r="E8" s="22"/>
      <c r="F8" s="22"/>
      <c r="G8" s="22"/>
    </row>
    <row r="9" spans="1:7" ht="62">
      <c r="A9" s="115"/>
      <c r="B9" s="118"/>
      <c r="C9" s="56" t="s">
        <v>234</v>
      </c>
      <c r="D9" s="22">
        <f>'Datos del grupo'!C$17</f>
        <v>0</v>
      </c>
      <c r="E9" s="22" t="s">
        <v>235</v>
      </c>
      <c r="F9" s="51" t="str">
        <f>IF(D10&gt;=D9,"CUMPLE","NO CUMPLE")</f>
        <v>CUMPLE</v>
      </c>
      <c r="G9" s="22"/>
    </row>
    <row r="10" spans="1:7" ht="31">
      <c r="A10" s="116"/>
      <c r="B10" s="119"/>
      <c r="C10" s="22" t="s">
        <v>236</v>
      </c>
      <c r="D10" s="22">
        <f>'Datos del grupo'!C$15</f>
        <v>0</v>
      </c>
      <c r="E10" s="22"/>
      <c r="F10" s="22"/>
      <c r="G10" s="22"/>
    </row>
    <row r="11" spans="1:7">
      <c r="A11" s="19"/>
      <c r="B11" s="19"/>
      <c r="C11" s="19"/>
      <c r="D11" s="19"/>
      <c r="E11" s="19"/>
      <c r="F11" s="19"/>
      <c r="G11" s="19"/>
    </row>
    <row r="12" spans="1:7">
      <c r="A12" s="19"/>
      <c r="B12" s="19"/>
      <c r="C12" s="19"/>
      <c r="D12" s="19"/>
      <c r="E12" s="19"/>
      <c r="F12" s="19"/>
      <c r="G12" s="19"/>
    </row>
    <row r="13" spans="1:7" ht="16" customHeight="1">
      <c r="A13" s="114" t="s">
        <v>151</v>
      </c>
      <c r="B13" s="117" t="s">
        <v>237</v>
      </c>
      <c r="C13" s="22" t="s">
        <v>238</v>
      </c>
      <c r="D13" s="22">
        <f>'Datos del grupo'!C$10</f>
        <v>0</v>
      </c>
      <c r="E13" s="22" t="s">
        <v>239</v>
      </c>
      <c r="F13" s="22"/>
      <c r="G13" s="22"/>
    </row>
    <row r="14" spans="1:7" ht="31">
      <c r="A14" s="115"/>
      <c r="B14" s="118"/>
      <c r="C14" s="56" t="s">
        <v>240</v>
      </c>
      <c r="D14" s="22">
        <f>'Datos del grupo'!C$62</f>
        <v>0</v>
      </c>
      <c r="E14" s="42" t="e">
        <f>D14/D15</f>
        <v>#DIV/0!</v>
      </c>
      <c r="F14" s="42" t="e">
        <f>E14/E21</f>
        <v>#DIV/0!</v>
      </c>
      <c r="G14" s="22" t="e">
        <f>IF(E14&gt;E21, "CUMPLE", "NO CUMPLE")</f>
        <v>#DIV/0!</v>
      </c>
    </row>
    <row r="15" spans="1:7" ht="31">
      <c r="A15" s="115"/>
      <c r="B15" s="118"/>
      <c r="C15" s="22" t="s">
        <v>241</v>
      </c>
      <c r="D15" s="22">
        <f>'Datos del grupo'!C$9</f>
        <v>0</v>
      </c>
      <c r="E15" s="22" t="s">
        <v>242</v>
      </c>
      <c r="F15" s="22"/>
      <c r="G15" s="22"/>
    </row>
    <row r="16" spans="1:7" ht="31">
      <c r="A16" s="115"/>
      <c r="B16" s="118"/>
      <c r="C16" s="22" t="s">
        <v>243</v>
      </c>
      <c r="D16" s="43">
        <v>0.2</v>
      </c>
      <c r="E16" s="22">
        <f>IF(D13=1, D16, 0)</f>
        <v>0</v>
      </c>
      <c r="F16" s="22"/>
      <c r="G16" s="22"/>
    </row>
    <row r="17" spans="1:7" ht="31">
      <c r="A17" s="115"/>
      <c r="B17" s="118"/>
      <c r="C17" s="22" t="s">
        <v>244</v>
      </c>
      <c r="D17" s="43">
        <v>0.4</v>
      </c>
      <c r="E17" s="22">
        <f>IF(D13=2, D17, 0)</f>
        <v>0</v>
      </c>
      <c r="F17" s="22"/>
      <c r="G17" s="22"/>
    </row>
    <row r="18" spans="1:7" ht="31">
      <c r="A18" s="115"/>
      <c r="B18" s="118"/>
      <c r="C18" s="22" t="s">
        <v>245</v>
      </c>
      <c r="D18" s="43">
        <v>0.6</v>
      </c>
      <c r="E18" s="22">
        <f>IF(D13=3, D18, 0)</f>
        <v>0</v>
      </c>
      <c r="F18" s="22"/>
      <c r="G18" s="22"/>
    </row>
    <row r="19" spans="1:7" ht="31">
      <c r="A19" s="115"/>
      <c r="B19" s="118"/>
      <c r="C19" s="22" t="s">
        <v>246</v>
      </c>
      <c r="D19" s="43">
        <v>0.8</v>
      </c>
      <c r="E19" s="22">
        <f>IF(D13=4, D19, 0)</f>
        <v>0</v>
      </c>
      <c r="F19" s="22"/>
      <c r="G19" s="22"/>
    </row>
    <row r="20" spans="1:7" ht="31">
      <c r="A20" s="115"/>
      <c r="B20" s="118"/>
      <c r="C20" s="22" t="s">
        <v>247</v>
      </c>
      <c r="D20" s="43">
        <v>1</v>
      </c>
      <c r="E20" s="22">
        <f>IF(D13=5, D20, 0)</f>
        <v>0</v>
      </c>
      <c r="F20" s="22"/>
      <c r="G20" s="22"/>
    </row>
    <row r="21" spans="1:7" ht="31">
      <c r="A21" s="116"/>
      <c r="B21" s="119"/>
      <c r="C21" s="22"/>
      <c r="D21" s="22" t="s">
        <v>248</v>
      </c>
      <c r="E21" s="22">
        <f>SUM(E16:E20)</f>
        <v>0</v>
      </c>
      <c r="F21" s="22"/>
      <c r="G21" s="22"/>
    </row>
    <row r="22" spans="1:7">
      <c r="A22" s="25"/>
      <c r="B22" s="25"/>
      <c r="C22" s="19"/>
      <c r="D22" s="19"/>
      <c r="E22" s="19"/>
      <c r="F22" s="19"/>
      <c r="G22" s="19"/>
    </row>
    <row r="23" spans="1:7" ht="62">
      <c r="A23" s="114" t="s">
        <v>148</v>
      </c>
      <c r="B23" s="117" t="s">
        <v>249</v>
      </c>
      <c r="C23" s="56" t="s">
        <v>238</v>
      </c>
      <c r="D23" s="22">
        <f>'Datos del grupo'!C$10</f>
        <v>0</v>
      </c>
      <c r="E23" s="22" t="s">
        <v>250</v>
      </c>
      <c r="F23" s="22"/>
      <c r="G23" s="22"/>
    </row>
    <row r="24" spans="1:7" ht="46.5">
      <c r="A24" s="115"/>
      <c r="B24" s="118"/>
      <c r="C24" s="56" t="s">
        <v>251</v>
      </c>
      <c r="D24" s="22">
        <f>'Datos del grupo'!C$61</f>
        <v>0</v>
      </c>
      <c r="E24" s="42" t="e">
        <f>D24/D25</f>
        <v>#DIV/0!</v>
      </c>
      <c r="F24" s="42" t="e">
        <f>E24/E31</f>
        <v>#DIV/0!</v>
      </c>
      <c r="G24" s="22" t="e">
        <f>IF(E24&gt;E31, "CUMPLE", "NO CUMPLE")</f>
        <v>#DIV/0!</v>
      </c>
    </row>
    <row r="25" spans="1:7" ht="31">
      <c r="A25" s="115"/>
      <c r="B25" s="118"/>
      <c r="C25" s="56" t="s">
        <v>241</v>
      </c>
      <c r="D25" s="22">
        <f>'Datos del grupo'!C$9</f>
        <v>0</v>
      </c>
      <c r="E25" s="22" t="s">
        <v>252</v>
      </c>
      <c r="F25" s="22"/>
      <c r="G25" s="22"/>
    </row>
    <row r="26" spans="1:7" ht="31">
      <c r="A26" s="115"/>
      <c r="B26" s="118"/>
      <c r="C26" s="56" t="s">
        <v>253</v>
      </c>
      <c r="D26" s="43">
        <v>0.2</v>
      </c>
      <c r="E26" s="22">
        <f>IF(D23=1, D26, 0)</f>
        <v>0</v>
      </c>
      <c r="F26" s="22"/>
      <c r="G26" s="22"/>
    </row>
    <row r="27" spans="1:7" ht="31">
      <c r="A27" s="115"/>
      <c r="B27" s="118"/>
      <c r="C27" s="56" t="s">
        <v>254</v>
      </c>
      <c r="D27" s="43">
        <v>0.4</v>
      </c>
      <c r="E27" s="22">
        <f>IF(D23=2, D27, 0)</f>
        <v>0</v>
      </c>
      <c r="F27" s="22"/>
      <c r="G27" s="22"/>
    </row>
    <row r="28" spans="1:7" ht="31">
      <c r="A28" s="115"/>
      <c r="B28" s="118"/>
      <c r="C28" s="56" t="s">
        <v>255</v>
      </c>
      <c r="D28" s="43">
        <v>0.6</v>
      </c>
      <c r="E28" s="22">
        <f>IF(D23=3, D28, 0)</f>
        <v>0</v>
      </c>
      <c r="F28" s="22"/>
      <c r="G28" s="22"/>
    </row>
    <row r="29" spans="1:7" ht="31">
      <c r="A29" s="115"/>
      <c r="B29" s="118"/>
      <c r="C29" s="56" t="s">
        <v>256</v>
      </c>
      <c r="D29" s="43">
        <v>0.8</v>
      </c>
      <c r="E29" s="22">
        <f>IF(D23=4, D29, 0)</f>
        <v>0</v>
      </c>
      <c r="F29" s="22"/>
      <c r="G29" s="22"/>
    </row>
    <row r="30" spans="1:7" ht="31">
      <c r="A30" s="115"/>
      <c r="B30" s="118"/>
      <c r="C30" s="56" t="s">
        <v>257</v>
      </c>
      <c r="D30" s="43">
        <v>1</v>
      </c>
      <c r="E30" s="22">
        <f>IF(D23=5, D30, 0)</f>
        <v>0</v>
      </c>
      <c r="F30" s="22"/>
      <c r="G30" s="22"/>
    </row>
    <row r="31" spans="1:7">
      <c r="A31" s="116"/>
      <c r="B31" s="119"/>
      <c r="C31" s="22"/>
      <c r="D31" s="22" t="s">
        <v>252</v>
      </c>
      <c r="E31" s="22">
        <f>SUM(E26:E30)</f>
        <v>0</v>
      </c>
      <c r="F31" s="22"/>
      <c r="G31" s="22"/>
    </row>
    <row r="32" spans="1:7">
      <c r="A32" s="19"/>
      <c r="B32" s="19"/>
      <c r="C32" s="19"/>
      <c r="D32" s="19"/>
      <c r="E32" s="19"/>
      <c r="F32" s="19"/>
      <c r="G32" s="19"/>
    </row>
    <row r="33" spans="1:7" ht="46.5">
      <c r="A33" s="114" t="s">
        <v>134</v>
      </c>
      <c r="B33" s="22" t="s">
        <v>258</v>
      </c>
      <c r="C33" s="22" t="s">
        <v>259</v>
      </c>
      <c r="D33" s="22">
        <f>'Datos del grupo'!C$56</f>
        <v>0</v>
      </c>
      <c r="E33" s="56" t="s">
        <v>260</v>
      </c>
      <c r="F33" s="22"/>
      <c r="G33" s="22" t="e">
        <f>IF(E34&lt;500, "CUMPLE", "NO CUMPLE")</f>
        <v>#DIV/0!</v>
      </c>
    </row>
    <row r="34" spans="1:7">
      <c r="A34" s="116"/>
      <c r="B34" s="22"/>
      <c r="C34" s="22" t="s">
        <v>261</v>
      </c>
      <c r="D34" s="22">
        <f>'Datos del grupo'!C$9</f>
        <v>0</v>
      </c>
      <c r="E34" s="22" t="e">
        <f>D34/D33</f>
        <v>#DIV/0!</v>
      </c>
      <c r="F34" s="22"/>
      <c r="G34" s="22"/>
    </row>
    <row r="35" spans="1:7">
      <c r="A35" s="19"/>
      <c r="B35" s="19"/>
      <c r="C35" s="19"/>
      <c r="D35" s="19"/>
      <c r="E35" s="19"/>
      <c r="F35" s="19"/>
      <c r="G35" s="19"/>
    </row>
    <row r="36" spans="1:7">
      <c r="A36" s="19"/>
      <c r="B36" s="19"/>
      <c r="C36" s="57"/>
      <c r="D36" s="19"/>
      <c r="E36" s="19"/>
      <c r="F36" s="19"/>
      <c r="G36" s="19"/>
    </row>
    <row r="37" spans="1:7" ht="93">
      <c r="A37" s="114" t="s">
        <v>62</v>
      </c>
      <c r="B37" s="22" t="s">
        <v>262</v>
      </c>
      <c r="C37" s="54" t="s">
        <v>263</v>
      </c>
      <c r="D37" s="44">
        <f>'Datos del grupo'!C$27</f>
        <v>0</v>
      </c>
      <c r="E37" s="22" t="s">
        <v>264</v>
      </c>
      <c r="F37" s="44" t="e">
        <f>D37/D38</f>
        <v>#DIV/0!</v>
      </c>
      <c r="G37" s="22" t="e">
        <f>IF(F37&gt;=1,"CUMPLE", "NO CUMPLE")</f>
        <v>#DIV/0!</v>
      </c>
    </row>
    <row r="38" spans="1:7" ht="31">
      <c r="A38" s="116"/>
      <c r="B38" s="22"/>
      <c r="C38" s="56" t="s">
        <v>265</v>
      </c>
      <c r="D38" s="44">
        <f>'Datos del grupo'!C$28</f>
        <v>0</v>
      </c>
      <c r="E38" s="22"/>
      <c r="F38" s="22"/>
      <c r="G38" s="22"/>
    </row>
    <row r="39" spans="1:7">
      <c r="A39" s="19"/>
      <c r="B39" s="19"/>
      <c r="C39" s="57"/>
      <c r="D39" s="19"/>
      <c r="E39" s="19"/>
      <c r="F39" s="19"/>
      <c r="G39" s="19"/>
    </row>
    <row r="40" spans="1:7">
      <c r="A40" s="19"/>
      <c r="B40" s="19"/>
      <c r="C40" s="57"/>
      <c r="D40" s="19"/>
      <c r="E40" s="19"/>
      <c r="F40" s="19"/>
      <c r="G40" s="19"/>
    </row>
    <row r="41" spans="1:7" ht="31">
      <c r="A41" s="124" t="s">
        <v>76</v>
      </c>
      <c r="B41" s="125" t="s">
        <v>191</v>
      </c>
      <c r="C41" s="56" t="s">
        <v>266</v>
      </c>
      <c r="D41" s="22">
        <f>'Datos del grupo'!C$33</f>
        <v>0</v>
      </c>
      <c r="E41" s="56" t="s">
        <v>267</v>
      </c>
      <c r="F41" s="22" t="str">
        <f>IF(D46="","",IF(D46&gt;=D49, "CUMPLE", "NO CUMPLE"))</f>
        <v/>
      </c>
      <c r="G41" s="22"/>
    </row>
    <row r="42" spans="1:7" ht="31">
      <c r="A42" s="124"/>
      <c r="B42" s="125"/>
      <c r="C42" s="56" t="s">
        <v>268</v>
      </c>
      <c r="D42" s="22">
        <f>'Datos del grupo'!C$12</f>
        <v>0</v>
      </c>
      <c r="E42" s="56" t="s">
        <v>269</v>
      </c>
      <c r="F42" s="22" t="str">
        <f>IF(D47="","",IF(D47&gt;=D50,"CUMPLE","NO CUMPLE"))</f>
        <v/>
      </c>
      <c r="G42" s="22"/>
    </row>
    <row r="43" spans="1:7" ht="31">
      <c r="A43" s="124"/>
      <c r="B43" s="125"/>
      <c r="C43" s="56" t="s">
        <v>270</v>
      </c>
      <c r="D43" s="22">
        <f>'Datos del grupo'!C$32</f>
        <v>0</v>
      </c>
      <c r="E43" s="56" t="s">
        <v>7</v>
      </c>
      <c r="F43" s="52" t="str">
        <f>IF(OR(F41="NO CUMPLE",F42="NO CUMPLE"),"NO CUMPLE","CUMPLE")</f>
        <v>CUMPLE</v>
      </c>
      <c r="G43" s="22"/>
    </row>
    <row r="44" spans="1:7" ht="46.5">
      <c r="A44" s="124"/>
      <c r="B44" s="125"/>
      <c r="C44" s="56" t="s">
        <v>271</v>
      </c>
      <c r="D44" s="22">
        <f>'Datos del grupo'!C$34*'Datos del grupo'!C$33</f>
        <v>0</v>
      </c>
      <c r="E44" s="22"/>
      <c r="F44" s="22"/>
      <c r="G44" s="22"/>
    </row>
    <row r="45" spans="1:7" ht="46.5">
      <c r="A45" s="124"/>
      <c r="B45" s="125"/>
      <c r="C45" s="56" t="s">
        <v>272</v>
      </c>
      <c r="D45" s="22">
        <f>D42-D44</f>
        <v>0</v>
      </c>
      <c r="E45" s="22"/>
      <c r="F45" s="22"/>
      <c r="G45" s="22"/>
    </row>
    <row r="46" spans="1:7" ht="31">
      <c r="A46" s="124"/>
      <c r="B46" s="125"/>
      <c r="C46" s="56" t="s">
        <v>267</v>
      </c>
      <c r="D46" s="44" t="str">
        <f>IFERROR(D44/D41,"")</f>
        <v/>
      </c>
      <c r="E46" s="22"/>
      <c r="F46" s="22"/>
      <c r="G46" s="22"/>
    </row>
    <row r="47" spans="1:7" ht="31">
      <c r="A47" s="124"/>
      <c r="B47" s="125"/>
      <c r="C47" s="56" t="s">
        <v>269</v>
      </c>
      <c r="D47" s="44" t="str">
        <f>IFERROR(D45/(D43-D41),"")</f>
        <v/>
      </c>
      <c r="E47" s="22"/>
      <c r="F47" s="22"/>
      <c r="G47" s="22"/>
    </row>
    <row r="48" spans="1:7">
      <c r="A48" s="124"/>
      <c r="B48" s="125"/>
      <c r="C48" s="56"/>
      <c r="D48" s="22"/>
      <c r="E48" s="22"/>
      <c r="F48" s="22"/>
      <c r="G48" s="22"/>
    </row>
    <row r="49" spans="1:7" ht="62">
      <c r="A49" s="124"/>
      <c r="B49" s="125"/>
      <c r="C49" s="56" t="s">
        <v>273</v>
      </c>
      <c r="D49" s="22">
        <f>'Datos del grupo'!C$35</f>
        <v>0</v>
      </c>
      <c r="E49" s="22"/>
      <c r="F49" s="22"/>
      <c r="G49" s="22"/>
    </row>
    <row r="50" spans="1:7" ht="62">
      <c r="A50" s="124"/>
      <c r="B50" s="125"/>
      <c r="C50" s="22" t="s">
        <v>311</v>
      </c>
      <c r="D50" s="22">
        <f>'Datos del grupo'!C$36</f>
        <v>0</v>
      </c>
      <c r="E50" s="22"/>
      <c r="F50" s="22"/>
      <c r="G50" s="22"/>
    </row>
    <row r="51" spans="1:7">
      <c r="A51" s="45"/>
      <c r="B51" s="45"/>
      <c r="C51" s="19"/>
      <c r="D51" s="19"/>
      <c r="E51" s="19"/>
      <c r="F51" s="19"/>
      <c r="G51" s="19"/>
    </row>
    <row r="52" spans="1:7">
      <c r="A52" s="19"/>
      <c r="B52" s="19"/>
      <c r="C52" s="19"/>
      <c r="D52" s="19"/>
      <c r="E52" s="19"/>
      <c r="F52" s="19"/>
      <c r="G52" s="19"/>
    </row>
    <row r="53" spans="1:7" ht="31">
      <c r="A53" s="114" t="s">
        <v>113</v>
      </c>
      <c r="B53" s="22" t="s">
        <v>274</v>
      </c>
      <c r="C53" s="56" t="s">
        <v>312</v>
      </c>
      <c r="D53" s="22">
        <f>'Datos del grupo'!C$33</f>
        <v>0</v>
      </c>
      <c r="E53" s="22"/>
      <c r="F53" s="22"/>
      <c r="G53" s="22" t="e">
        <f>IF(D57&gt;D58, "CUMPLE", "NO CUMPLE")</f>
        <v>#DIV/0!</v>
      </c>
    </row>
    <row r="54" spans="1:7">
      <c r="A54" s="115"/>
      <c r="B54" s="22"/>
      <c r="C54" s="22" t="s">
        <v>275</v>
      </c>
      <c r="D54" s="22">
        <f>D44</f>
        <v>0</v>
      </c>
      <c r="E54" s="22"/>
      <c r="F54" s="22"/>
      <c r="G54" s="22"/>
    </row>
    <row r="55" spans="1:7">
      <c r="A55" s="115"/>
      <c r="B55" s="22"/>
      <c r="C55" s="22" t="s">
        <v>276</v>
      </c>
      <c r="D55" s="22">
        <f>'Datos del grupo'!C$46</f>
        <v>0</v>
      </c>
      <c r="E55" s="22"/>
      <c r="F55" s="22"/>
      <c r="G55" s="22"/>
    </row>
    <row r="56" spans="1:7" ht="31">
      <c r="A56" s="115"/>
      <c r="B56" s="22"/>
      <c r="C56" s="22" t="s">
        <v>277</v>
      </c>
      <c r="D56" s="22">
        <f>D55*D53</f>
        <v>0</v>
      </c>
      <c r="E56" s="22"/>
      <c r="F56" s="22"/>
      <c r="G56" s="22"/>
    </row>
    <row r="57" spans="1:7" ht="31">
      <c r="A57" s="115"/>
      <c r="B57" s="22"/>
      <c r="C57" s="22" t="s">
        <v>278</v>
      </c>
      <c r="D57" s="22" t="e">
        <f>((D54/D53)*1000/((D56/D53)/10))</f>
        <v>#DIV/0!</v>
      </c>
      <c r="E57" s="22"/>
      <c r="F57" s="22"/>
      <c r="G57" s="22"/>
    </row>
    <row r="58" spans="1:7" ht="46.5">
      <c r="A58" s="116"/>
      <c r="B58" s="22"/>
      <c r="C58" s="22" t="s">
        <v>279</v>
      </c>
      <c r="D58" s="22">
        <v>90</v>
      </c>
      <c r="E58" s="22"/>
      <c r="F58" s="22"/>
      <c r="G58" s="22"/>
    </row>
    <row r="59" spans="1:7">
      <c r="A59" s="19"/>
      <c r="B59" s="19"/>
      <c r="C59" s="19"/>
      <c r="D59" s="19"/>
      <c r="E59" s="19"/>
      <c r="F59" s="19"/>
      <c r="G59" s="19"/>
    </row>
    <row r="60" spans="1:7">
      <c r="A60" s="19"/>
      <c r="B60" s="19"/>
      <c r="C60" s="19"/>
      <c r="D60" s="19"/>
      <c r="E60" s="19"/>
      <c r="F60" s="19"/>
      <c r="G60" s="19"/>
    </row>
    <row r="61" spans="1:7" ht="46.5">
      <c r="A61" s="114" t="s">
        <v>124</v>
      </c>
      <c r="B61" s="22" t="s">
        <v>280</v>
      </c>
      <c r="C61" s="22" t="s">
        <v>125</v>
      </c>
      <c r="D61" s="22">
        <f>'Datos del grupo'!C$50</f>
        <v>0</v>
      </c>
      <c r="E61" s="22" t="s">
        <v>20</v>
      </c>
      <c r="F61" s="42" t="e">
        <f>D65/100</f>
        <v>#DIV/0!</v>
      </c>
      <c r="G61" s="22" t="e">
        <f>IF(D65&gt;10, "CUMPLE", "NO CUMPLE")</f>
        <v>#DIV/0!</v>
      </c>
    </row>
    <row r="62" spans="1:7">
      <c r="A62" s="115"/>
      <c r="B62" s="22"/>
      <c r="C62" s="22" t="s">
        <v>281</v>
      </c>
      <c r="D62" s="22">
        <f>'Datos del grupo'!C$51</f>
        <v>0</v>
      </c>
      <c r="E62" s="22" t="s">
        <v>20</v>
      </c>
      <c r="F62" s="56" t="s">
        <v>313</v>
      </c>
      <c r="G62" s="22"/>
    </row>
    <row r="63" spans="1:7" ht="31">
      <c r="A63" s="115"/>
      <c r="B63" s="22"/>
      <c r="C63" s="22" t="s">
        <v>282</v>
      </c>
      <c r="D63" s="46" t="e">
        <f>(0.98)*(100-20*D61/(100-D61))*(1.5-50/D62)</f>
        <v>#DIV/0!</v>
      </c>
      <c r="E63" s="22" t="s">
        <v>20</v>
      </c>
      <c r="F63" s="22"/>
      <c r="G63" s="22"/>
    </row>
    <row r="64" spans="1:7" ht="31">
      <c r="A64" s="115"/>
      <c r="B64" s="22"/>
      <c r="C64" s="22" t="s">
        <v>128</v>
      </c>
      <c r="D64" s="22">
        <f>'Datos del grupo'!C$52</f>
        <v>0</v>
      </c>
      <c r="E64" s="22" t="s">
        <v>20</v>
      </c>
      <c r="F64" s="22"/>
      <c r="G64" s="22"/>
    </row>
    <row r="65" spans="1:7" ht="46.5">
      <c r="A65" s="116"/>
      <c r="B65" s="22"/>
      <c r="C65" s="22" t="s">
        <v>280</v>
      </c>
      <c r="D65" s="47" t="e">
        <f>D63*D64/100</f>
        <v>#DIV/0!</v>
      </c>
      <c r="E65" s="22" t="s">
        <v>20</v>
      </c>
      <c r="F65" s="22"/>
      <c r="G65" s="22"/>
    </row>
    <row r="66" spans="1:7">
      <c r="A66" s="19"/>
      <c r="B66" s="19"/>
      <c r="C66" s="19"/>
      <c r="D66" s="19"/>
      <c r="E66" s="19"/>
      <c r="F66" s="19"/>
      <c r="G66" s="19"/>
    </row>
    <row r="67" spans="1:7">
      <c r="A67" s="19"/>
      <c r="B67" s="19"/>
      <c r="C67" s="19"/>
      <c r="D67" s="19"/>
      <c r="E67" s="19"/>
      <c r="F67" s="19"/>
      <c r="G67" s="19"/>
    </row>
    <row r="68" spans="1:7" ht="139.5">
      <c r="A68" s="114" t="s">
        <v>94</v>
      </c>
      <c r="B68" s="56" t="s">
        <v>283</v>
      </c>
      <c r="C68" s="49" t="s">
        <v>284</v>
      </c>
      <c r="D68" s="58">
        <f>'Datos del grupo'!C$39</f>
        <v>0</v>
      </c>
      <c r="E68" s="49" t="s">
        <v>314</v>
      </c>
      <c r="F68" s="42" t="e">
        <f>((D70*0.42)+(D73*3.06))/((D68*0.42)+(D72*3.06))</f>
        <v>#DIV/0!</v>
      </c>
      <c r="G68" s="22" t="e">
        <f>IF(F69="NO", "CUMPLE", "NO CUMPLE")</f>
        <v>#DIV/0!</v>
      </c>
    </row>
    <row r="69" spans="1:7" ht="77.5">
      <c r="A69" s="115"/>
      <c r="B69" s="22"/>
      <c r="C69" s="53" t="s">
        <v>285</v>
      </c>
      <c r="D69" s="44">
        <f>'Datos del grupo'!C$40</f>
        <v>0</v>
      </c>
      <c r="E69" s="53" t="s">
        <v>286</v>
      </c>
      <c r="F69" s="46" t="e">
        <f>IF(F68&lt;1.05, "No", "Si")</f>
        <v>#DIV/0!</v>
      </c>
      <c r="G69" s="22"/>
    </row>
    <row r="70" spans="1:7" ht="46.5">
      <c r="A70" s="115"/>
      <c r="B70" s="22"/>
      <c r="C70" s="22" t="s">
        <v>287</v>
      </c>
      <c r="D70" s="44">
        <f>'Datos del grupo'!C$42</f>
        <v>0</v>
      </c>
      <c r="E70" s="22"/>
      <c r="F70" s="22"/>
      <c r="G70" s="22"/>
    </row>
    <row r="71" spans="1:7" ht="46.5">
      <c r="A71" s="115"/>
      <c r="B71" s="22"/>
      <c r="C71" s="22" t="s">
        <v>288</v>
      </c>
      <c r="D71" s="44">
        <f>'Datos del grupo'!C$43</f>
        <v>0</v>
      </c>
      <c r="E71" s="22"/>
      <c r="F71" s="22"/>
      <c r="G71" s="22"/>
    </row>
    <row r="72" spans="1:7" ht="46.5">
      <c r="A72" s="115"/>
      <c r="B72" s="22"/>
      <c r="C72" s="22" t="s">
        <v>289</v>
      </c>
      <c r="D72" s="22">
        <f>D69*0.436</f>
        <v>0</v>
      </c>
      <c r="E72" s="22"/>
      <c r="F72" s="22"/>
      <c r="G72" s="22"/>
    </row>
    <row r="73" spans="1:7" ht="31">
      <c r="A73" s="116"/>
      <c r="B73" s="22"/>
      <c r="C73" s="22" t="s">
        <v>290</v>
      </c>
      <c r="D73" s="22">
        <f>D71*0.436</f>
        <v>0</v>
      </c>
      <c r="E73" s="22"/>
      <c r="F73" s="22"/>
      <c r="G73" s="22"/>
    </row>
    <row r="74" spans="1:7">
      <c r="A74" s="19"/>
      <c r="B74" s="19"/>
      <c r="C74" s="19"/>
      <c r="D74" s="19"/>
      <c r="E74" s="19"/>
      <c r="F74" s="19"/>
      <c r="G74" s="19"/>
    </row>
    <row r="75" spans="1:7">
      <c r="A75" s="19"/>
      <c r="B75" s="19"/>
      <c r="C75" s="19"/>
      <c r="D75" s="19"/>
      <c r="E75" s="19"/>
      <c r="F75" s="19"/>
      <c r="G75" s="19"/>
    </row>
    <row r="76" spans="1:7" ht="77.5">
      <c r="A76" s="114" t="s">
        <v>119</v>
      </c>
      <c r="B76" s="22" t="s">
        <v>291</v>
      </c>
      <c r="C76" s="53" t="s">
        <v>292</v>
      </c>
      <c r="D76" s="22">
        <f>'Datos del grupo'!C$48</f>
        <v>0</v>
      </c>
      <c r="E76" s="22" t="s">
        <v>293</v>
      </c>
      <c r="F76" s="43">
        <v>0.8</v>
      </c>
      <c r="G76" s="22" t="e">
        <f>IF(F76&lt;=D78, "CUMPLE", "NO CUMPLE")</f>
        <v>#DIV/0!</v>
      </c>
    </row>
    <row r="77" spans="1:7" ht="31">
      <c r="A77" s="115"/>
      <c r="B77" s="22"/>
      <c r="C77" s="22" t="s">
        <v>294</v>
      </c>
      <c r="D77" s="22">
        <f>'Datos del grupo'!C$49</f>
        <v>0</v>
      </c>
      <c r="E77" s="22"/>
      <c r="F77" s="22"/>
      <c r="G77" s="22"/>
    </row>
    <row r="78" spans="1:7" ht="31">
      <c r="A78" s="116"/>
      <c r="B78" s="22"/>
      <c r="C78" s="22" t="s">
        <v>295</v>
      </c>
      <c r="D78" s="42" t="e">
        <f>D77/D76</f>
        <v>#DIV/0!</v>
      </c>
      <c r="E78" s="22"/>
      <c r="F78" s="22"/>
      <c r="G78" s="22"/>
    </row>
    <row r="81" spans="1:7" ht="62">
      <c r="A81" s="24" t="s">
        <v>129</v>
      </c>
      <c r="B81" s="22" t="s">
        <v>210</v>
      </c>
      <c r="C81" s="22" t="s">
        <v>296</v>
      </c>
      <c r="D81" s="24">
        <f>'Datos del grupo'!C$54</f>
        <v>0</v>
      </c>
      <c r="E81" s="24" t="s">
        <v>297</v>
      </c>
      <c r="F81" s="24">
        <v>120</v>
      </c>
      <c r="G81" s="39" t="str">
        <f>IF(D86="No","",IF(D85&gt;120, "CUMPLE", "NO CUMPLE"))</f>
        <v>NO CUMPLE</v>
      </c>
    </row>
    <row r="82" spans="1:7" ht="31">
      <c r="A82" s="24"/>
      <c r="B82" s="24"/>
      <c r="C82" s="22" t="s">
        <v>128</v>
      </c>
      <c r="D82" s="24">
        <f>'Datos del grupo'!C$52</f>
        <v>0</v>
      </c>
      <c r="E82" s="24"/>
      <c r="F82" s="24" t="s">
        <v>298</v>
      </c>
      <c r="G82" s="24"/>
    </row>
    <row r="83" spans="1:7" ht="46.5">
      <c r="A83" s="24"/>
      <c r="B83" s="24"/>
      <c r="C83" s="22" t="s">
        <v>299</v>
      </c>
      <c r="D83" s="24">
        <f>'Datos del grupo'!C$55</f>
        <v>0</v>
      </c>
      <c r="E83" s="10"/>
      <c r="F83" s="24"/>
      <c r="G83" s="24"/>
    </row>
    <row r="84" spans="1:7" ht="62">
      <c r="A84" s="24"/>
      <c r="B84" s="24"/>
      <c r="C84" s="22" t="s">
        <v>300</v>
      </c>
      <c r="D84" s="24">
        <f>IF(D81=0,D82/0.95+D83/100*D82,D81)</f>
        <v>0</v>
      </c>
      <c r="E84" s="48"/>
      <c r="F84" s="24"/>
      <c r="G84" s="24"/>
    </row>
    <row r="85" spans="1:7" ht="62">
      <c r="A85" s="24"/>
      <c r="B85" s="24"/>
      <c r="C85" s="56" t="s">
        <v>210</v>
      </c>
      <c r="D85" s="24">
        <f>D84*0.905*10</f>
        <v>0</v>
      </c>
      <c r="E85" s="24"/>
      <c r="F85" s="24"/>
      <c r="G85" s="24"/>
    </row>
    <row r="86" spans="1:7" ht="31">
      <c r="A86" s="24"/>
      <c r="B86" s="24"/>
      <c r="C86" s="49" t="s">
        <v>130</v>
      </c>
      <c r="D86" s="24" t="str">
        <f>'Datos del grupo'!C$53</f>
        <v>Escoger</v>
      </c>
      <c r="E86" s="24"/>
      <c r="F86" s="24"/>
      <c r="G86" s="24"/>
    </row>
  </sheetData>
  <sheetProtection algorithmName="SHA-512" hashValue="FrkMKOrKJMHWYn6U3yTqVNBS+cpC2J3xXx3vu5GmSd5c5YXvxAICF8liQKUUu7/nTWH+zZnwUNtftX05pcHxhg==" saltValue="mAjanMgJnmSyw69QCTECfg==" spinCount="100000" sheet="1" objects="1" scenarios="1"/>
  <mergeCells count="17">
    <mergeCell ref="A53:A58"/>
    <mergeCell ref="A61:A65"/>
    <mergeCell ref="A68:A73"/>
    <mergeCell ref="A76:A78"/>
    <mergeCell ref="A23:A31"/>
    <mergeCell ref="B23:B31"/>
    <mergeCell ref="A33:A34"/>
    <mergeCell ref="A37:A38"/>
    <mergeCell ref="A41:A50"/>
    <mergeCell ref="B41:B50"/>
    <mergeCell ref="A13:A21"/>
    <mergeCell ref="B13:B21"/>
    <mergeCell ref="A2:E2"/>
    <mergeCell ref="A4:B4"/>
    <mergeCell ref="D4:E4"/>
    <mergeCell ref="A7:A10"/>
    <mergeCell ref="B7:B10"/>
  </mergeCells>
  <conditionalFormatting sqref="F7:G7">
    <cfRule type="cellIs" dxfId="1" priority="2" operator="equal">
      <formula>"NOT COMPLIANT"</formula>
    </cfRule>
  </conditionalFormatting>
  <conditionalFormatting sqref="G81">
    <cfRule type="cellIs" dxfId="0" priority="1" operator="equal">
      <formula>"NOT COMPLIANT"</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569A3-FBD5-49DD-AA1D-8654635E4947}">
  <sheetPr codeName="Sheet5"/>
  <dimension ref="A1:A3"/>
  <sheetViews>
    <sheetView workbookViewId="0">
      <selection activeCell="B4" sqref="B4"/>
    </sheetView>
  </sheetViews>
  <sheetFormatPr defaultRowHeight="15.5"/>
  <sheetData>
    <row r="1" spans="1:1">
      <c r="A1" t="s">
        <v>337</v>
      </c>
    </row>
    <row r="2" spans="1:1">
      <c r="A2" t="s">
        <v>169</v>
      </c>
    </row>
    <row r="3" spans="1:1">
      <c r="A3" t="s">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fe0daf43-258d-42ef-b5ee-58830eb703bc">ED6AZ73W7JUT-2102554853-3450165</_dlc_DocId>
    <_dlc_DocIdUrl xmlns="fe0daf43-258d-42ef-b5ee-58830eb703bc">
      <Url>https://bonsucro.sharepoint.com/_layouts/15/DocIdRedir.aspx?ID=ED6AZ73W7JUT-2102554853-3450165</Url>
      <Description>ED6AZ73W7JUT-2102554853-3450165</Description>
    </_dlc_DocIdUrl>
    <TaxCatchAll xmlns="fe0daf43-258d-42ef-b5ee-58830eb703bc" xsi:nil="true"/>
    <lcf76f155ced4ddcb4097134ff3c332f xmlns="7b02d9b3-0750-4193-90ea-e2fce0096684">
      <Terms xmlns="http://schemas.microsoft.com/office/infopath/2007/PartnerControls"/>
    </lcf76f155ced4ddcb4097134ff3c332f>
    <Status xmlns="7b02d9b3-0750-4193-90ea-e2fce009668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54FF6F6BFE1F4DB95ED8775B48CA91" ma:contentTypeVersion="42" ma:contentTypeDescription="Create a new document." ma:contentTypeScope="" ma:versionID="7d2f23060d4cb32db3230b3ff9802a12">
  <xsd:schema xmlns:xsd="http://www.w3.org/2001/XMLSchema" xmlns:xs="http://www.w3.org/2001/XMLSchema" xmlns:p="http://schemas.microsoft.com/office/2006/metadata/properties" xmlns:ns2="7b02d9b3-0750-4193-90ea-e2fce0096684" xmlns:ns3="fe0daf43-258d-42ef-b5ee-58830eb703bc" targetNamespace="http://schemas.microsoft.com/office/2006/metadata/properties" ma:root="true" ma:fieldsID="f0f46662a20eb25e8c253ff36842e9e1" ns2:_="" ns3:_="">
    <xsd:import namespace="7b02d9b3-0750-4193-90ea-e2fce0096684"/>
    <xsd:import namespace="fe0daf43-258d-42ef-b5ee-58830eb703b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3:_dlc_DocId" minOccurs="0"/>
                <xsd:element ref="ns3:_dlc_DocIdUrl" minOccurs="0"/>
                <xsd:element ref="ns3:_dlc_DocIdPersistId"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02d9b3-0750-4193-90ea-e2fce00966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9c46228-acdf-4af8-8b84-c73aa49a30a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Status" ma:index="28" nillable="true" ma:displayName="Status" ma:format="Dropdown" ma:internalName="Status">
      <xsd:simpleType>
        <xsd:restriction base="dms:Choice">
          <xsd:enumeration value="Approved"/>
          <xsd:enumeration value="In Progress"/>
          <xsd:enumeration value="Declined"/>
        </xsd:restriction>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0daf43-258d-42ef-b5ee-58830eb703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e7e5dc98-6704-471e-adf7-4c7a01dcfc9c}" ma:internalName="TaxCatchAll" ma:showField="CatchAllData" ma:web="fe0daf43-258d-42ef-b5ee-58830eb703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0B55FA5-B397-4EB5-8DA5-46278E4D049F}">
  <ds:schemaRefs>
    <ds:schemaRef ds:uri="http://schemas.microsoft.com/sharepoint/v3/contenttype/forms"/>
  </ds:schemaRefs>
</ds:datastoreItem>
</file>

<file path=customXml/itemProps2.xml><?xml version="1.0" encoding="utf-8"?>
<ds:datastoreItem xmlns:ds="http://schemas.openxmlformats.org/officeDocument/2006/customXml" ds:itemID="{D75C5ADF-D661-4DC3-B9AB-17D5577543C8}">
  <ds:schemaRefs>
    <ds:schemaRef ds:uri="http://www.w3.org/XML/1998/namespace"/>
    <ds:schemaRef ds:uri="fe0daf43-258d-42ef-b5ee-58830eb703bc"/>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7b02d9b3-0750-4193-90ea-e2fce0096684"/>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8D2DC75-8B98-42BD-A612-E6D0CE0447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02d9b3-0750-4193-90ea-e2fce0096684"/>
    <ds:schemaRef ds:uri="fe0daf43-258d-42ef-b5ee-58830eb703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DC8337-0848-48E0-9300-9A9DB115953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Changes</vt:lpstr>
      <vt:lpstr>Datos del grupo</vt:lpstr>
      <vt:lpstr>Resultados del grupo</vt:lpstr>
      <vt:lpstr>Cálculos</vt:lpstr>
      <vt:lpstr>Dropdowns</vt:lpstr>
      <vt:lpstr>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Nisha MS</cp:lastModifiedBy>
  <cp:revision/>
  <dcterms:created xsi:type="dcterms:W3CDTF">2020-12-15T01:18:07Z</dcterms:created>
  <dcterms:modified xsi:type="dcterms:W3CDTF">2024-05-22T12:57:20Z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0x0101000954FF6F6BFE1F4DB95ED8775B48CA91</vt:lpwstr>
  </property>
  <property fmtid="{D5CDD505-2E9C-101B-9397-08002B2CF9AE}" pid="3" name="_dlc_DocIdItemGuid">
    <vt:lpwstr>46bcae7a-01f6-43b4-ba5c-79b2dd22654c</vt:lpwstr>
  </property>
  <property fmtid="{D5CDD505-2E9C-101B-9397-08002B2CF9AE}" pid="4" name="MediaServiceImageTags">
    <vt:lpwstr/>
  </property>
</Properties>
</file>