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autoCompressPictures="0"/>
  <mc:AlternateContent xmlns:mc="http://schemas.openxmlformats.org/markup-compatibility/2006">
    <mc:Choice Requires="x15">
      <x15ac:absPath xmlns:x15ac="http://schemas.microsoft.com/office/spreadsheetml/2010/11/ac" url="https://bonsucro.sharepoint.com/Shared Documents/3) Performance Verification/3.01 Bonsucro Production Certification/1. Standard Revision Version 5/8. V5.0 calculator/Smallholder calculator update/Update version/"/>
    </mc:Choice>
  </mc:AlternateContent>
  <xr:revisionPtr revIDLastSave="233" documentId="13_ncr:1_{8872607E-ABC5-4CD3-9C1A-B49EDABC52D8}" xr6:coauthVersionLast="47" xr6:coauthVersionMax="47" xr10:uidLastSave="{E7CF8704-3FBE-4BF8-BD43-554CA3A2C941}"/>
  <workbookProtection workbookAlgorithmName="SHA-512" workbookHashValue="4/MkCJO6j0YpTDSmbTRtQI6r7FX8guRFcl50jy5Vg6kdHWWY5ruwxao4Rb27ElVSeaMGbouWsNRqzljYMGqdNw==" workbookSaltValue="Tn2qOgcxHj784vV5O1rvpQ==" workbookSpinCount="100000" lockStructure="1"/>
  <bookViews>
    <workbookView xWindow="28680" yWindow="-120" windowWidth="29040" windowHeight="15840" tabRatio="500" activeTab="4" xr2:uid="{00000000-000D-0000-FFFF-FFFF00000000}"/>
  </bookViews>
  <sheets>
    <sheet name="Changes" sheetId="8" r:id="rId1"/>
    <sheet name="GROUP INPUT" sheetId="3" r:id="rId2"/>
    <sheet name="Dropdowns" sheetId="9" state="hidden" r:id="rId3"/>
    <sheet name="GROUP RESULTS" sheetId="5" r:id="rId4"/>
    <sheet name="CALCULATIONS" sheetId="6" r:id="rId5"/>
  </sheets>
  <definedNames>
    <definedName name="_xlnm.Print_Area" localSheetId="0">Changes!$A$1:$G$26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7" i="5" l="1"/>
  <c r="D27" i="5"/>
  <c r="D34" i="5" l="1"/>
  <c r="E34" i="5" s="1"/>
  <c r="D42" i="5" l="1"/>
  <c r="D40" i="5" l="1"/>
  <c r="E40" i="5" s="1"/>
  <c r="F42" i="5" l="1"/>
  <c r="D44" i="6" l="1"/>
  <c r="D54" i="6" s="1"/>
  <c r="D20" i="5" l="1"/>
  <c r="F20" i="5" s="1"/>
  <c r="D86" i="6" l="1"/>
  <c r="D83" i="6"/>
  <c r="D82" i="6"/>
  <c r="D81" i="6"/>
  <c r="D77" i="6"/>
  <c r="D76" i="6"/>
  <c r="D71" i="6"/>
  <c r="D70" i="6"/>
  <c r="D69" i="6"/>
  <c r="D68" i="6"/>
  <c r="D64" i="6"/>
  <c r="D62" i="6"/>
  <c r="D61" i="6"/>
  <c r="D55" i="6"/>
  <c r="D53" i="6"/>
  <c r="D50" i="6"/>
  <c r="D49" i="6"/>
  <c r="D42" i="6"/>
  <c r="D45" i="6" s="1"/>
  <c r="D43" i="6"/>
  <c r="D41" i="6"/>
  <c r="D46" i="6" s="1"/>
  <c r="D38" i="6"/>
  <c r="D37" i="6"/>
  <c r="D34" i="6"/>
  <c r="D33" i="6"/>
  <c r="D25" i="6"/>
  <c r="D24" i="6"/>
  <c r="D23" i="6"/>
  <c r="D15" i="6"/>
  <c r="D14" i="6"/>
  <c r="D13" i="6"/>
  <c r="D10" i="6"/>
  <c r="D9" i="6"/>
  <c r="D8" i="6"/>
  <c r="F7" i="6" s="1"/>
  <c r="D48" i="5"/>
  <c r="E48" i="5" s="1"/>
  <c r="D47" i="5"/>
  <c r="E47" i="5" s="1"/>
  <c r="D43" i="5"/>
  <c r="E43" i="5" s="1"/>
  <c r="D41" i="5"/>
  <c r="F41" i="5" s="1"/>
  <c r="D36" i="5"/>
  <c r="D33" i="5"/>
  <c r="E33" i="5" s="1"/>
  <c r="D31" i="5"/>
  <c r="D30" i="5"/>
  <c r="D28" i="5"/>
  <c r="D25" i="5"/>
  <c r="D24" i="5"/>
  <c r="D23" i="5"/>
  <c r="F23" i="5" s="1"/>
  <c r="D22" i="5"/>
  <c r="F22" i="5" s="1"/>
  <c r="D21" i="5"/>
  <c r="D19" i="5"/>
  <c r="D18" i="5"/>
  <c r="D17" i="5"/>
  <c r="E17" i="5" s="1"/>
  <c r="D15" i="5"/>
  <c r="D14" i="5"/>
  <c r="E14" i="5" s="1"/>
  <c r="E14" i="6" l="1"/>
  <c r="D78" i="6"/>
  <c r="G76" i="6" s="1"/>
  <c r="F27" i="5"/>
  <c r="F9" i="6"/>
  <c r="G7" i="6" s="1"/>
  <c r="F41" i="6"/>
  <c r="D47" i="6"/>
  <c r="F42" i="6" s="1"/>
  <c r="E27" i="6"/>
  <c r="E30" i="6"/>
  <c r="E26" i="6"/>
  <c r="E29" i="6"/>
  <c r="E28" i="6"/>
  <c r="E20" i="6"/>
  <c r="E16" i="6"/>
  <c r="E18" i="6"/>
  <c r="E17" i="6"/>
  <c r="E19" i="6"/>
  <c r="F43" i="6" l="1"/>
  <c r="D84" i="6"/>
  <c r="D85" i="6" s="1"/>
  <c r="G81" i="6" s="1"/>
  <c r="F39" i="5" s="1"/>
  <c r="E15" i="5"/>
  <c r="E18" i="5"/>
  <c r="E19" i="5"/>
  <c r="E21" i="5"/>
  <c r="E24" i="5"/>
  <c r="E25" i="5"/>
  <c r="E28" i="5"/>
  <c r="E30" i="5"/>
  <c r="E31" i="5"/>
  <c r="D73" i="6"/>
  <c r="D72" i="6"/>
  <c r="F36" i="5"/>
  <c r="E24" i="6"/>
  <c r="F37" i="6" l="1"/>
  <c r="G37" i="6" s="1"/>
  <c r="E26" i="5" s="1"/>
  <c r="E16" i="5"/>
  <c r="D63" i="6"/>
  <c r="D65" i="6" s="1"/>
  <c r="G61" i="6" s="1"/>
  <c r="F38" i="5" s="1"/>
  <c r="E34" i="6"/>
  <c r="G33" i="6" s="1"/>
  <c r="F46" i="5" s="1"/>
  <c r="D56" i="6"/>
  <c r="D57" i="6" s="1"/>
  <c r="D35" i="5" s="1"/>
  <c r="F37" i="5"/>
  <c r="D37" i="5"/>
  <c r="D39" i="5"/>
  <c r="F68" i="6"/>
  <c r="F69" i="6" s="1"/>
  <c r="G68" i="6" s="1"/>
  <c r="F32" i="5" s="1"/>
  <c r="G53" i="6" l="1"/>
  <c r="F35" i="5" s="1"/>
  <c r="D26" i="5"/>
  <c r="E21" i="6"/>
  <c r="F61" i="6"/>
  <c r="D38" i="5" s="1"/>
  <c r="D46" i="5"/>
  <c r="F29" i="5"/>
  <c r="E31" i="6"/>
  <c r="C8" i="5" l="1"/>
  <c r="G14" i="6"/>
  <c r="F45" i="5" s="1"/>
  <c r="F14" i="6"/>
  <c r="D45" i="5" s="1"/>
  <c r="F24" i="6"/>
  <c r="D44" i="5" s="1"/>
  <c r="G24" i="6"/>
  <c r="E44" i="5" s="1"/>
  <c r="C6" i="5" s="1"/>
  <c r="C9" i="5" l="1"/>
  <c r="C10" i="5"/>
  <c r="C11" i="5" l="1"/>
</calcChain>
</file>

<file path=xl/sharedStrings.xml><?xml version="1.0" encoding="utf-8"?>
<sst xmlns="http://schemas.openxmlformats.org/spreadsheetml/2006/main" count="564" uniqueCount="356">
  <si>
    <t>Smallholder Group Calculator</t>
  </si>
  <si>
    <t xml:space="preserve">Please Read: This data is to meant to be completed by the group manager. Data must be entered regarding the entire group of farms in the [proposed] unit of certification. For several input lines, it is possible to use estimates based on information from completed Farm Diaries or other sources of field-level information. This is mentioned in the "Note" column E. Where the unit is Yes/No, please write exactly Yes or No (not "Y" or "N"). The group calculator must be completed once per group. This document must be read in conjuction with the Bonsucro Production Standard for Smallholder Farmers. </t>
  </si>
  <si>
    <t xml:space="preserve">Data Privacy: By completing the Bonsucro calculator and submitting to Bonsucro or a certification body, you are giving Bonsucro permission to access individual mill data and use the data publicly in aggregated form, including transfer to Bonsucro Connect which may be hosted by a third party. The third party host will be subject to the same rules as Bonsucro. Please contact info@bonsucro.com with any questions. </t>
  </si>
  <si>
    <t>Relevant Indicator (Core in Red)</t>
  </si>
  <si>
    <t>Input Request</t>
  </si>
  <si>
    <t>Input</t>
  </si>
  <si>
    <t>Unit</t>
  </si>
  <si>
    <t>Personal Note</t>
  </si>
  <si>
    <t>Description</t>
  </si>
  <si>
    <t>General</t>
  </si>
  <si>
    <t>Name of Group</t>
  </si>
  <si>
    <t xml:space="preserve">Name of association/mill/other applying for certification and working with the farmer group to apply for certification. </t>
  </si>
  <si>
    <t>Start date of assessment</t>
  </si>
  <si>
    <t>MM/YY</t>
  </si>
  <si>
    <t>End date of assessment (one year later)</t>
  </si>
  <si>
    <t xml:space="preserve">One year from "start date of assessment" including at least one full harvest period.  If applying for certification, the harvest period prior to the audit shall be used for data entry. All data must be filled out for a one year period. </t>
  </si>
  <si>
    <t>Number of Farmers in Unit of Certification</t>
  </si>
  <si>
    <t>#</t>
  </si>
  <si>
    <t xml:space="preserve">Provide list of farmers to auditor prior to audit. </t>
  </si>
  <si>
    <t>Year of Compliance (year 1, 2, 3, 4, 5)</t>
  </si>
  <si>
    <t xml:space="preserve">If the group has not been certified before, then enter 1. Do not enter a number higher than 5 (this is the maximum, and the requirement will not exceed). </t>
  </si>
  <si>
    <t>Number of female workers</t>
  </si>
  <si>
    <t>%</t>
  </si>
  <si>
    <t xml:space="preserve">Not including farm manager. Possible to estimate labour use per farm if workers are not managed by the group manager. </t>
  </si>
  <si>
    <t xml:space="preserve">General </t>
  </si>
  <si>
    <t>Sugarcane Production (total from group)</t>
  </si>
  <si>
    <t>tonnes</t>
  </si>
  <si>
    <t>1.1.1</t>
  </si>
  <si>
    <t xml:space="preserve">Do the farmers comply with environmental, social, and production laws? </t>
  </si>
  <si>
    <t>Yes</t>
  </si>
  <si>
    <t>Yes/No</t>
  </si>
  <si>
    <t xml:space="preserve">Environmental laws include legilsation on waste, pollution &amp; environmental protection, nature conservation, water quality, energy, and soil protection. Social laws include legislation on labour conditions and social wellbeing. Production laws include agricultural production pratcies (e.g. cane burning, harvest machine use) and transportation. </t>
  </si>
  <si>
    <t>1.2.1</t>
  </si>
  <si>
    <t>Can the right to use land and water be demonstrated?</t>
  </si>
  <si>
    <t xml:space="preserve">In the absense of legal demonstration, the operator shall confirm that there is no contestation of land and water rights or customary use rights are followed. </t>
  </si>
  <si>
    <t>2.1.1</t>
  </si>
  <si>
    <t>What is the minimum age of workers carrying out non-hazardous work?</t>
  </si>
  <si>
    <t>Minimum age requirement is 13 for family farms, and 15 for hired labour.</t>
  </si>
  <si>
    <t>What is the minimum age of workers carrying out hazardous work?</t>
  </si>
  <si>
    <t>Minimum age requirement is 18.</t>
  </si>
  <si>
    <t xml:space="preserve">What is the minimum age requirement in the country? If the ILO C138 is ratified or if there is a legal minimum age, please enter the minimum age here. </t>
  </si>
  <si>
    <t xml:space="preserve"> Enter 13 if ILO C138 is not in force, or if there is no legal minimum age for family farms. Search for ratifications by country here: http://www.ilo.org/dyn/normlex/en/f?p=1000:11300:0::NO:11300:P11300_INSTRUMENT_ID:312283</t>
  </si>
  <si>
    <t>2.1.2</t>
  </si>
  <si>
    <t xml:space="preserve">Is there any evidence of forced labour? </t>
  </si>
  <si>
    <t>No</t>
  </si>
  <si>
    <t>2.1.3</t>
  </si>
  <si>
    <t xml:space="preserve">Is there any evidence of discrimination? </t>
  </si>
  <si>
    <t>2.1.4</t>
  </si>
  <si>
    <t>Is the right of all personnel to form and join trade unions and/or to bargain collectively repected?</t>
  </si>
  <si>
    <t>Through interviews- depends on legal requirements. Applies to all workers on the premises of farms included in the unit of certification, hired permanently either by individual farmers or as a shared service of the group or mill.</t>
  </si>
  <si>
    <t>2.2.1</t>
  </si>
  <si>
    <t>Are work related injuries recorded?</t>
  </si>
  <si>
    <t xml:space="preserve">Work related injuries affecting the smallholder farmer and workers (including farmer, family labour and waged workers) shall be recorded. </t>
  </si>
  <si>
    <r>
      <rPr>
        <sz val="12"/>
        <color theme="1"/>
        <rFont val="Calibri"/>
        <family val="2"/>
        <scheme val="minor"/>
      </rPr>
      <t>2.2.1/</t>
    </r>
    <r>
      <rPr>
        <sz val="12"/>
        <color rgb="FFFF0000"/>
        <rFont val="Calibri"/>
        <family val="2"/>
        <scheme val="minor"/>
      </rPr>
      <t>2.2.2</t>
    </r>
  </si>
  <si>
    <t xml:space="preserve">Is there a health and safety plan? </t>
  </si>
  <si>
    <t xml:space="preserve">Health and safety plan must at minimum cover cane harvesting and agrochemical application and should include quantitative assessment of risk. Upload to Bonsucro Connect is optional. One health and safety plan can be used for the entire group of farms. The evidence for recording work related injuries must be confirmed in the sample of calculators. </t>
  </si>
  <si>
    <t>2.2.3</t>
  </si>
  <si>
    <t xml:space="preserve">Is personal protective equipment (PPE) used by all workers? </t>
  </si>
  <si>
    <t>Irrespective of contractual status (includes farmers, seasonal, permanent). To be compliant, PPE must be used for high risk work, including cane cutting and agrochemical application.</t>
  </si>
  <si>
    <t>2.2.4</t>
  </si>
  <si>
    <t>Percentage of workers (including farmers if they carry out work on the farm) that have been trained on health and safety.</t>
  </si>
  <si>
    <t xml:space="preserve">Training can be carried out by a third party or internally qualified person. </t>
  </si>
  <si>
    <t>2.2.5</t>
  </si>
  <si>
    <t>Is safe and sufficient drinking water available to each worker present in the farm?</t>
  </si>
  <si>
    <t>2.2.6</t>
  </si>
  <si>
    <t xml:space="preserve">Are first aid and emergency services available? </t>
  </si>
  <si>
    <t>2.3.1</t>
  </si>
  <si>
    <t>Minimum wage paid (Lowest payment)</t>
  </si>
  <si>
    <t>USD</t>
  </si>
  <si>
    <t>Payment per day or per week, must be consistent form with line 39. If payment is piece rate or not recorded, must be credibly estimated for the group considering the lowest paid labour. Convert payment to USD using same rate as used in line 39. Enter exchange rate in notes. https://www.oanda.com/currency/converter/</t>
  </si>
  <si>
    <t>Minimum wage required by law (Lowest payment)</t>
  </si>
  <si>
    <t xml:space="preserve">Payment per day or per week, must be consistent form with line 38. If payment is piece rate or not recorded, must be credibly estimated for the group considering the lowest paid labour. Convert payment to USD using same rate as used in line 38. Enter exchange rate in notes. </t>
  </si>
  <si>
    <t>2.3.2</t>
  </si>
  <si>
    <t>Maximum number of hours allowed by law per week</t>
  </si>
  <si>
    <t xml:space="preserve">If the law does not frame the maximum number of hours worked, then enter 60. </t>
  </si>
  <si>
    <t>Maximum number of hours actually worked per week</t>
  </si>
  <si>
    <t xml:space="preserve">Identify the job type that works the most hours and estimate their hours on a sample basis if hour records are not available. </t>
  </si>
  <si>
    <t>2.4.1</t>
  </si>
  <si>
    <t xml:space="preserve">Are workers aware of their rights and have a contract (written if legally required or verbal)? </t>
  </si>
  <si>
    <t xml:space="preserve">If allowed by law, can have verbal contracts where the individual understands the terms of the contract specified in the Proudction Standard for Smallholder Standard. </t>
  </si>
  <si>
    <t>3.1.2</t>
  </si>
  <si>
    <t>Land under cane (total for group)</t>
  </si>
  <si>
    <t>ha</t>
  </si>
  <si>
    <t xml:space="preserve">Total land under cane for farmers in the unit of certification. </t>
  </si>
  <si>
    <t>Area of farms that are irrigated</t>
  </si>
  <si>
    <t>Ha</t>
  </si>
  <si>
    <t>Possible to estimate if the percentage of farms that irrigate is known. Irrigation includes supplementary and full irrigation.</t>
  </si>
  <si>
    <t>Tonnes cane harvested from irrigated area</t>
  </si>
  <si>
    <t>Tonnes cane per ha</t>
  </si>
  <si>
    <t xml:space="preserve">This amount should be included in the total sugarcane harvest for the group. </t>
  </si>
  <si>
    <t xml:space="preserve">Target yield for climatic zone (irrigated) </t>
  </si>
  <si>
    <t>tonnes cane per ha</t>
  </si>
  <si>
    <t>Look up the target yield for your region here: https://www.bonsucro.com/wp-content/uploads/2017/01/ClimateZones_Sugar.png</t>
  </si>
  <si>
    <t xml:space="preserve">Target yield for climatic zone (rainfed) </t>
  </si>
  <si>
    <t>4.1.2</t>
  </si>
  <si>
    <t xml:space="preserve">Has any land been converted from legally protected (nationally or internationally) or high conservation value areas since five years prior to first certification? </t>
  </si>
  <si>
    <t xml:space="preserve">Tool to access satellite imagery of land use change: http://www.globalforestwatch.org/map </t>
  </si>
  <si>
    <t>4.1.3</t>
  </si>
  <si>
    <t>Environmental Impact and Management Plan</t>
  </si>
  <si>
    <t>Template provided from Bonsucro training material in English, Spanish, Portuguese. Note the importance of this document is to refer to activities and track progress. The relevant topics include: soil, water, use of integrated pest management, use of artificial fertilisers and cane burning. All five topics must be covered in the plan. Upload to Bonsucro Connect is optional.</t>
  </si>
  <si>
    <t>4.1.4</t>
  </si>
  <si>
    <t>Average recommended application of Nitrogen</t>
  </si>
  <si>
    <t>KG/Ha</t>
  </si>
  <si>
    <t xml:space="preserve">Based on soil or leaf analysis. Recommendation shall be made according to local industry recognised best practices. </t>
  </si>
  <si>
    <t>Average recommended application of P2O5 (Phosphorus)</t>
  </si>
  <si>
    <t>P2O5 KG/Ha</t>
  </si>
  <si>
    <t xml:space="preserve">Is fertiliser applied according to recommendation (or below recommendation)? </t>
  </si>
  <si>
    <t>Based on a sample of information from farmers (existing distribution system if managed by the group manager or farm diaries).</t>
  </si>
  <si>
    <t xml:space="preserve">Average application of Nitrogen </t>
  </si>
  <si>
    <t>Nitrogen KG/Ha</t>
  </si>
  <si>
    <t>Average application of P2O5 (Phosphorus)</t>
  </si>
  <si>
    <t>4.1.5</t>
  </si>
  <si>
    <t xml:space="preserve">Maximum average active ingredients applied per hectare per year? </t>
  </si>
  <si>
    <t>KG active ingredient per hectare per year</t>
  </si>
  <si>
    <t xml:space="preserve">Including herbicides, pesticides, fungicides, ripeners and other crop chemicals. Can use sample of farm diaries to estimate. </t>
  </si>
  <si>
    <t>4.1.6</t>
  </si>
  <si>
    <t>Any banned agro-chemicals applied?</t>
  </si>
  <si>
    <t>Search the list of banned chemicals here: http://www.ipm-coalition.org</t>
  </si>
  <si>
    <t>5.2.2</t>
  </si>
  <si>
    <t>Average water use per hectare of irrigated farms</t>
  </si>
  <si>
    <r>
      <t>m</t>
    </r>
    <r>
      <rPr>
        <vertAlign val="superscript"/>
        <sz val="12"/>
        <rFont val="Calibri (Body)"/>
      </rPr>
      <t>3</t>
    </r>
    <r>
      <rPr>
        <sz val="12"/>
        <rFont val="Calibri"/>
        <family val="2"/>
        <scheme val="minor"/>
      </rPr>
      <t>/ha</t>
    </r>
  </si>
  <si>
    <t>Irrigation includes extracted water, recycled water, diluted vinasse, vinasse, diluted effluents, captured rain water (not rain water). If the group is not calculating water use efficiency yet, then enter "not measured".</t>
  </si>
  <si>
    <t>5.2.3</t>
  </si>
  <si>
    <t>Area of farms where tops or leaves are left after harvest</t>
  </si>
  <si>
    <t xml:space="preserve">Possible to estimate. </t>
  </si>
  <si>
    <t>5.2.5</t>
  </si>
  <si>
    <t>Number of soil tests carried out (pH and macronutrients)</t>
  </si>
  <si>
    <t xml:space="preserve">Testing can be performed by the mill or third party labs for example. </t>
  </si>
  <si>
    <t>Number of soil tests carried out with results of pH value 5.0 to 8.0</t>
  </si>
  <si>
    <t xml:space="preserve">To ensure the maintenance an optimum soil pH. Sampling to be carried out at least once per crop cycle. </t>
  </si>
  <si>
    <t>5.3.1</t>
  </si>
  <si>
    <t>Fibre content of cane</t>
  </si>
  <si>
    <t>Average cane quality.</t>
  </si>
  <si>
    <t>Raw juice purity</t>
  </si>
  <si>
    <t>Sucrose content of cane</t>
  </si>
  <si>
    <t>5.3.2</t>
  </si>
  <si>
    <t xml:space="preserve">Does the mill produce ethanol? </t>
  </si>
  <si>
    <t xml:space="preserve">The mil the farmers supply cane to. </t>
  </si>
  <si>
    <t>Total sugars content of cane expressed as reducing sugars</t>
  </si>
  <si>
    <t xml:space="preserve">Enter only if ethanol is produced. </t>
  </si>
  <si>
    <t>Reducing sugar / sucrose ratio in cane</t>
  </si>
  <si>
    <t>7.2.2</t>
  </si>
  <si>
    <t xml:space="preserve">Number of Extension Workers </t>
  </si>
  <si>
    <t>Includes government, cooperative, NGO, mill extension staff. Extension workers are those that talk to the farmers and support them in decision making (e.g. if there are any pesticide problems, new variety trials)</t>
  </si>
  <si>
    <t>5.8.1</t>
  </si>
  <si>
    <t>Is there a recognized grievance and dispute resolution mechanism for all stakeholders?</t>
  </si>
  <si>
    <t>Stakeholders includes community members, workers, smallholder farmers.</t>
  </si>
  <si>
    <t>5.9.1</t>
  </si>
  <si>
    <t>Average income of production in the unit of certification</t>
  </si>
  <si>
    <t xml:space="preserve">Local currency per tonne of cane </t>
  </si>
  <si>
    <t xml:space="preserve">Possible to estimate, using data aligned with the farm diary. </t>
  </si>
  <si>
    <t>Average cost of production in the unit of certification</t>
  </si>
  <si>
    <t>7.1.1</t>
  </si>
  <si>
    <t xml:space="preserve">Has the list of farms been provided and group management defined? </t>
  </si>
  <si>
    <t xml:space="preserve">Please submit the list via Bonsucro Connect and prepare for the certification body. The data below should be completed abour this list of farms. Specify the point of contact at the organisation that is responsible for managing compliance to the Bonsucro Production Standard. If there are individual farmers, they must formally agree to receive the audit and be part of the certification process. </t>
  </si>
  <si>
    <t>7.1.2</t>
  </si>
  <si>
    <t>Number of farms that have completed the farm diary, or the information in the farm diary is recorded elsewhere</t>
  </si>
  <si>
    <t xml:space="preserve">The inputs in the farm diary can be recorded in a cane management system or app-based farm data collection tool, but the data must be audited by farm. </t>
  </si>
  <si>
    <t>7.2.1</t>
  </si>
  <si>
    <t>Number of smallholder farmers trained on good practices (not including health and safety)</t>
  </si>
  <si>
    <t xml:space="preserve">For example, farming/social/environmental requirements in high risk areas. This is the responsibility of the group and related to management of the cane. </t>
  </si>
  <si>
    <t>7.3.1</t>
  </si>
  <si>
    <t>Number of internal inspections that have been conducted</t>
  </si>
  <si>
    <t>The internal inspection can be conducted along with completing the calculator. There is no minimum sampling requirement, but should cover at least one farm per community or group. The number of internal inspections must increase yearly.</t>
  </si>
  <si>
    <t>7.4.1</t>
  </si>
  <si>
    <t xml:space="preserve">Does the group control volumes of sugarcane produced and sold? </t>
  </si>
  <si>
    <t>5.7.1</t>
  </si>
  <si>
    <t>Percentage of greenfield expansion or new sugarcane projects covered by ESIA</t>
  </si>
  <si>
    <t xml:space="preserve">After initial certification, any large-scale land use change or project where it affects more than 10% of group members shall be covered by ESIA. </t>
  </si>
  <si>
    <t>Group Results</t>
  </si>
  <si>
    <t>Overall Results</t>
  </si>
  <si>
    <t>Score (%)</t>
  </si>
  <si>
    <t>Overall Compliance Core</t>
  </si>
  <si>
    <t>Candidate for Certification?</t>
  </si>
  <si>
    <t>Indicator Number</t>
  </si>
  <si>
    <t>Indicator</t>
  </si>
  <si>
    <t>Requirement for Compliance</t>
  </si>
  <si>
    <t>Result</t>
  </si>
  <si>
    <t>Core Compliance</t>
  </si>
  <si>
    <t>Non-Core Compliance</t>
  </si>
  <si>
    <t>Compliance with the law</t>
  </si>
  <si>
    <t>The right to use land and water can be demonstrated</t>
  </si>
  <si>
    <t>Respect minimum age of workers and of children on family farms</t>
  </si>
  <si>
    <t>Hazards &gt;18, Non-hazardous &gt;13, 14, or 15 depends on if family farm and ILO C138 ratification or national law</t>
  </si>
  <si>
    <t>See Calculations Tab</t>
  </si>
  <si>
    <t>No presence of forced or compulsory labour</t>
  </si>
  <si>
    <t xml:space="preserve">2.1.3 </t>
  </si>
  <si>
    <t>No discrimination</t>
  </si>
  <si>
    <t>Respect the right of all workers to form and join trade unions and/or to bargain collectively</t>
  </si>
  <si>
    <t>Work related injuries are recorded</t>
  </si>
  <si>
    <t>2.2.2</t>
  </si>
  <si>
    <t>Main health and safety risks are assessed and measures for mitigation of risk are implemented</t>
  </si>
  <si>
    <t>Appropriate personal protective equipment (PPE) used</t>
  </si>
  <si>
    <t>Percentage of farmers trained on health and safety each year</t>
  </si>
  <si>
    <t>All workers present on the field have access to drinking water in sufficient quantity</t>
  </si>
  <si>
    <t>All workers present on the field have access to first aid and provision for emergency response</t>
  </si>
  <si>
    <t xml:space="preserve">2.3.1 </t>
  </si>
  <si>
    <t>Ratio of lowest entry level wage including benefits to minimum wage and benefits required by law</t>
  </si>
  <si>
    <t>Ratio &gt;1</t>
  </si>
  <si>
    <t xml:space="preserve">Maximum number of hours worked (normal and overtime) </t>
  </si>
  <si>
    <t xml:space="preserve">2.4.1 </t>
  </si>
  <si>
    <t>Existence of a contract or equivalent document</t>
  </si>
  <si>
    <t>Yield of production</t>
  </si>
  <si>
    <t>Tc/ha above target yield in crop per drop map</t>
  </si>
  <si>
    <t>Percentage of areas defined internationally or nationally as legally protected or classified as of High Conservation Value planted to sugarcane after the cut-off date of five years prior to first date of assessment</t>
  </si>
  <si>
    <t xml:space="preserve">The key environmental issues are covered by an appropriate and implemented environmental impact and management plan (EIMP) </t>
  </si>
  <si>
    <t>Ratio of fertiliser N and P applied (expressed in eq. phosphase) to fertiliser N and P recommended by soil or leaf analysis (expressed in eq. phosphate)</t>
  </si>
  <si>
    <t xml:space="preserve">&lt;5% above recommendation </t>
  </si>
  <si>
    <t>Agro-chemicals applied per hectare per year</t>
  </si>
  <si>
    <t>&lt;5 kg active ingredient per hectare per year</t>
  </si>
  <si>
    <t xml:space="preserve">4.1.6 </t>
  </si>
  <si>
    <t>Banned agro-chemicals applied per hectare per year</t>
  </si>
  <si>
    <t>For irrigated cane, efficient use of water</t>
  </si>
  <si>
    <t>&gt;90 kg/ha production per mm water use</t>
  </si>
  <si>
    <t>% Ground cover of tops or leaves after harvest</t>
  </si>
  <si>
    <t>&gt;30%</t>
  </si>
  <si>
    <t>Percentage fields with samples showing analyses within acceptable limits for pH</t>
  </si>
  <si>
    <t>&gt;80%</t>
  </si>
  <si>
    <t>Theoretical recoverable sugar content of cane</t>
  </si>
  <si>
    <t>&gt;10%</t>
  </si>
  <si>
    <t>Fermentable total sugars content of cane expressed as invert (TSAI)</t>
  </si>
  <si>
    <t>&gt;120 kg / t cane</t>
  </si>
  <si>
    <t>Existence and usage of a recognised and accessible grievance and dispute resolution mechanism for all stakeholders</t>
  </si>
  <si>
    <t>Sugarcane farming is profitable</t>
  </si>
  <si>
    <t>Yes (&gt;0 USD per tonne cane)</t>
  </si>
  <si>
    <t>Indentify Group and Manager</t>
  </si>
  <si>
    <t>Submit list of farms</t>
  </si>
  <si>
    <t xml:space="preserve">7.1.2 </t>
  </si>
  <si>
    <t>Farm Calculator from Certified Farms (% of target)</t>
  </si>
  <si>
    <t>20% prior to first year of certification + 20% each year after</t>
  </si>
  <si>
    <t>Provide training to farms within the unit of certification (% of traget)</t>
  </si>
  <si>
    <t>Extension services are in place - ratio 1:</t>
  </si>
  <si>
    <t>Ratio 1 extension officer : 500 farmers</t>
  </si>
  <si>
    <t>Conduct internal inspections to verify compliance</t>
  </si>
  <si>
    <t>Track volumes of cane production and sales</t>
  </si>
  <si>
    <t>Calculations</t>
  </si>
  <si>
    <t xml:space="preserve">Please note, calculations are still in development in some cases and will be revised based on feedback from second consultation and feedback. Please read: Where further calculations are necessary to understand the output of the results and determine compliance, the formula are shared here. </t>
  </si>
  <si>
    <t>Inputs</t>
  </si>
  <si>
    <t>Intermediate Calculations</t>
  </si>
  <si>
    <t>Result(s)</t>
  </si>
  <si>
    <t>Compliance</t>
  </si>
  <si>
    <t>Hazardous Work Age Requirement</t>
  </si>
  <si>
    <t>Hazardous Work</t>
  </si>
  <si>
    <t>Hazardous Work Age</t>
  </si>
  <si>
    <t>Non-Hazardous Work Age Requirement (C138/legal/Bonsucro minimum)</t>
  </si>
  <si>
    <t>Non-Hazardous Work on Family Farms</t>
  </si>
  <si>
    <t xml:space="preserve">Non-Hazardous Work Age </t>
  </si>
  <si>
    <t>Provide Training to farms within the unit of certification</t>
  </si>
  <si>
    <t>Year of Certification</t>
  </si>
  <si>
    <t>Training Received</t>
  </si>
  <si>
    <t>Current Training Provision</t>
  </si>
  <si>
    <t>Number of Farms in Unit of Certification</t>
  </si>
  <si>
    <t>Training Expected</t>
  </si>
  <si>
    <t>Training Requirement Year 1</t>
  </si>
  <si>
    <t>Training Requirement Year 2</t>
  </si>
  <si>
    <t>Training Requirement Year 3</t>
  </si>
  <si>
    <t>Training Requirement Year 4</t>
  </si>
  <si>
    <t>Training Requirement Year 5</t>
  </si>
  <si>
    <t>Required Training Percentage</t>
  </si>
  <si>
    <t>Completed Farm Diary from Farms in the Unit of Certification</t>
  </si>
  <si>
    <t>Percentage of Farm Diaries Completed</t>
  </si>
  <si>
    <t>Current Farm Diaries complete</t>
  </si>
  <si>
    <t>Percentage Required</t>
  </si>
  <si>
    <t>Farm diaries completed year 1</t>
  </si>
  <si>
    <t>Farm diaries completed year 2</t>
  </si>
  <si>
    <t>Farm diaries completed year 3</t>
  </si>
  <si>
    <t>Farm diaries completed year 4</t>
  </si>
  <si>
    <t>Farm diaries completed year 5</t>
  </si>
  <si>
    <t>Required Percentage</t>
  </si>
  <si>
    <t>Extension services are in place</t>
  </si>
  <si>
    <t>Number of Extension Workers</t>
  </si>
  <si>
    <t>Ratio, Number of Extension Workers per Farmer</t>
  </si>
  <si>
    <t>Number of Farmers</t>
  </si>
  <si>
    <t>Lowest minimum wage</t>
  </si>
  <si>
    <t>Payment ratio</t>
  </si>
  <si>
    <t>Minimum wage required by law</t>
  </si>
  <si>
    <t>Area Irrigated, ha</t>
  </si>
  <si>
    <t>Irrigated Yield</t>
  </si>
  <si>
    <t>Total sugarcane produced</t>
  </si>
  <si>
    <t>Rainfed Yield</t>
  </si>
  <si>
    <t>Total Area Harvested, ha</t>
  </si>
  <si>
    <t>Overall</t>
  </si>
  <si>
    <t>Total tonnes cane from irrigated area</t>
  </si>
  <si>
    <t>Total tonnes cane from rainfed area</t>
  </si>
  <si>
    <t>Yield Target (Irrigated), tc/ha from crop per drop map</t>
  </si>
  <si>
    <t>Yield Target (Rainfed), tc/ha from crop per drop map</t>
  </si>
  <si>
    <t>Area harvested (irrigated), ha</t>
  </si>
  <si>
    <t>Yield (irrigated)</t>
  </si>
  <si>
    <t>Water applied, m3/ha</t>
  </si>
  <si>
    <t>All water used on irrigated cane</t>
  </si>
  <si>
    <t>Result kg cane/ha per mm water use</t>
  </si>
  <si>
    <t>Metric requirement for efficient use of water (kg cane/ha)/mm</t>
  </si>
  <si>
    <t>Metric threshold &gt;10%</t>
  </si>
  <si>
    <t xml:space="preserve">Theoretical overall recovery </t>
  </si>
  <si>
    <t>Total element N fertiliser recommended by soil or leaf analysis, tonnes</t>
  </si>
  <si>
    <t>Ratio of fertiliser applied (phosphate equivalent) / fertiliser recommended by soil or leaf analysis (phosphate equivalent)</t>
  </si>
  <si>
    <t>Total element P2O5 fertiliser recommended by soil or leaf analysis, tonnes</t>
  </si>
  <si>
    <t>5% above recommendation?</t>
  </si>
  <si>
    <t>Total element N fertilser applied, tonnes</t>
  </si>
  <si>
    <t>Total element P2O5 fertiliser applied, tonnes</t>
  </si>
  <si>
    <t>Total P Equivalent Recommended, tonnes</t>
  </si>
  <si>
    <t>Total P Equivalent Applied, tonnes</t>
  </si>
  <si>
    <t>Fields with samples taken</t>
  </si>
  <si>
    <t>Metric requirement for positive tests within range 5.0 to 8.0</t>
  </si>
  <si>
    <t>Fields with positive samples</t>
  </si>
  <si>
    <t>Percentage compliant</t>
  </si>
  <si>
    <t>Total sugars content of cane expressed as TSAI</t>
  </si>
  <si>
    <t>Metric requirement</t>
  </si>
  <si>
    <t>kg / t cane</t>
  </si>
  <si>
    <t>Overall Compliance Non-Core</t>
  </si>
  <si>
    <r>
      <rPr>
        <b/>
        <sz val="12"/>
        <color theme="1"/>
        <rFont val="Calibri"/>
        <family val="2"/>
        <scheme val="minor"/>
      </rPr>
      <t>Core</t>
    </r>
    <r>
      <rPr>
        <sz val="12"/>
        <color theme="1"/>
        <rFont val="Calibri"/>
        <family val="2"/>
        <scheme val="minor"/>
      </rPr>
      <t xml:space="preserve"> Indicators Pass Rate:</t>
    </r>
  </si>
  <si>
    <r>
      <rPr>
        <b/>
        <sz val="12"/>
        <color theme="1"/>
        <rFont val="Calibri"/>
        <family val="2"/>
        <scheme val="minor"/>
      </rPr>
      <t>Non-Core</t>
    </r>
    <r>
      <rPr>
        <sz val="12"/>
        <color theme="1"/>
        <rFont val="Calibri"/>
        <family val="2"/>
        <scheme val="minor"/>
      </rPr>
      <t xml:space="preserve"> Indicators Pass Rate:</t>
    </r>
  </si>
  <si>
    <t xml:space="preserve">Changes from previous versions </t>
  </si>
  <si>
    <t>If you have any questions about the calculator, please contact your certification body - if you do not have a contract with a certification body, please contact Bonsucro at standards@bonsucro.com</t>
  </si>
  <si>
    <t>If you would wish to report a error / mistake in the calculator formulas or formatting, please contact Bonsucro at standards@bonsucro.com</t>
  </si>
  <si>
    <t>Version</t>
  </si>
  <si>
    <t>Tab</t>
  </si>
  <si>
    <t>Line</t>
  </si>
  <si>
    <t>Note</t>
  </si>
  <si>
    <t>Published</t>
  </si>
  <si>
    <t xml:space="preserve">Initial publication </t>
  </si>
  <si>
    <t>The Bonsucro® Calculator and its content is copyright of “Bonsucro®” - © « Bonsucro®» 2010-2030. All rights reserved.</t>
  </si>
  <si>
    <t>Bonsucro® prohibits any modification of part or all of the contents in any form.</t>
  </si>
  <si>
    <t>GROUP RESULTS</t>
  </si>
  <si>
    <t>Added compliance result for non-core indicators.</t>
  </si>
  <si>
    <t>Please read: The Bonsucro Production Standard for Smallholder Farmers is used to determine results and compliance levels of the smallholder farmers that have participated in the use of the Bonsucro Caluclator for Smallholder Farmers. If the answer is incomplete in the calculator, it will show here as not-compliant. The core indicator must be met 100%, and the non-core indicator must be over 60% to be eligible for certification. The Core indicators are highlighted in blue in column A.</t>
  </si>
  <si>
    <t>1.1</t>
  </si>
  <si>
    <t>Version 1.2</t>
  </si>
  <si>
    <t>1.2</t>
  </si>
  <si>
    <t>1.0</t>
  </si>
  <si>
    <t>June 2018</t>
  </si>
  <si>
    <t>CALCULATIONS</t>
  </si>
  <si>
    <t xml:space="preserve">Corrected the issue in the complaint result. Where it should say not compliant, was always reporting complaint. </t>
  </si>
  <si>
    <t>Indicator 5.9.1 wasn't displaying a result. It has been corrected</t>
  </si>
  <si>
    <t>November 2018</t>
  </si>
  <si>
    <t xml:space="preserve">Update formulas on calculator tab (yields, water efficiency)  </t>
  </si>
  <si>
    <t>GROUP INPUT</t>
  </si>
  <si>
    <t xml:space="preserve">Corrected overall compliance formula Added indicator 5.7.1 which was missing </t>
  </si>
  <si>
    <t>GROUP INPUT and CALCULATIONS</t>
  </si>
  <si>
    <t>Several</t>
  </si>
  <si>
    <t xml:space="preserve">Moved the last row to facilitate copy and paste for users who have already used the calculator </t>
  </si>
  <si>
    <t>Replaced reference to 5.6.1 by 7.2.2</t>
  </si>
  <si>
    <t>Revised scoring calculation due to the addition of missing indicator 5.7.1</t>
  </si>
  <si>
    <t>5 to 9</t>
  </si>
  <si>
    <t>Updated overall scoring calculation to accommodate new indicator 5.7.1 as well as non applicable indicators</t>
  </si>
  <si>
    <t xml:space="preserve">Improved visualisation of result with red for NC </t>
  </si>
  <si>
    <t>4 to 11</t>
  </si>
  <si>
    <r>
      <t xml:space="preserve">Result of </t>
    </r>
    <r>
      <rPr>
        <b/>
        <sz val="12"/>
        <color theme="1"/>
        <rFont val="Calibri"/>
        <family val="2"/>
        <scheme val="minor"/>
      </rPr>
      <t>Core</t>
    </r>
    <r>
      <rPr>
        <sz val="12"/>
        <color theme="1"/>
        <rFont val="Calibri"/>
        <family val="2"/>
        <scheme val="minor"/>
      </rPr>
      <t xml:space="preserve"> Indicators Compliant</t>
    </r>
  </si>
  <si>
    <r>
      <t>Result of</t>
    </r>
    <r>
      <rPr>
        <b/>
        <sz val="12"/>
        <color theme="1"/>
        <rFont val="Calibri"/>
        <family val="2"/>
        <scheme val="minor"/>
      </rPr>
      <t xml:space="preserve"> Non-Core</t>
    </r>
    <r>
      <rPr>
        <sz val="12"/>
        <color theme="1"/>
        <rFont val="Calibri"/>
        <family val="2"/>
        <scheme val="minor"/>
      </rPr>
      <t xml:space="preserve"> Indicators Compliant</t>
    </r>
  </si>
  <si>
    <t>Select</t>
  </si>
  <si>
    <t>This list starts from the publication of version 1.0 of the Bonsucro Smallholder group Calculator, and captures changes implemented by subsequent versions.</t>
  </si>
  <si>
    <t>SHF Calc v1.2 EN</t>
  </si>
  <si>
    <t>BONSUCRO SMALLHOLDER GROUP CALCULATOR</t>
  </si>
  <si>
    <t>May 2024</t>
  </si>
  <si>
    <t>6 to 65</t>
  </si>
  <si>
    <t>Included a dropdown list to Yes / No answers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</si>
</sst>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00_);_(* \(#,##0.00\);_(* &quot;-&quot;??_);_(@_)"/>
    <numFmt numFmtId="165" formatCode="0.0"/>
    <numFmt numFmtId="166" formatCode="0.000"/>
    <numFmt numFmtId="167" formatCode="[$-409]mmmm\ d\,\ yyyy;@"/>
  </numFmts>
  <fonts count="29">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0"/>
      <name val="Calibri"/>
      <family val="2"/>
      <scheme val="minor"/>
    </font>
    <font>
      <b/>
      <sz val="12"/>
      <color theme="0"/>
      <name val="Calibri"/>
      <family val="2"/>
      <scheme val="minor"/>
    </font>
    <font>
      <b/>
      <sz val="12"/>
      <color theme="1"/>
      <name val="Calibri"/>
      <family val="2"/>
      <scheme val="minor"/>
    </font>
    <font>
      <sz val="12"/>
      <name val="Calibri"/>
      <family val="2"/>
      <scheme val="minor"/>
    </font>
    <font>
      <sz val="12"/>
      <color rgb="FFFF0000"/>
      <name val="Calibri"/>
      <family val="2"/>
      <scheme val="minor"/>
    </font>
    <font>
      <sz val="12"/>
      <color rgb="FF000000"/>
      <name val="Calibri"/>
      <family val="2"/>
      <scheme val="minor"/>
    </font>
    <font>
      <vertAlign val="superscript"/>
      <sz val="12"/>
      <name val="Calibri (Body)"/>
    </font>
    <font>
      <sz val="11"/>
      <color theme="0"/>
      <name val="Calibri"/>
      <family val="2"/>
      <scheme val="minor"/>
    </font>
    <font>
      <sz val="22"/>
      <color theme="0"/>
      <name val="Trebuchet MS"/>
      <family val="2"/>
    </font>
    <font>
      <sz val="8"/>
      <color theme="0" tint="-0.14999847407452621"/>
      <name val="Trebuchet MS"/>
      <family val="2"/>
    </font>
    <font>
      <sz val="18"/>
      <color theme="0"/>
      <name val="Trebuchet MS"/>
      <family val="2"/>
    </font>
    <font>
      <sz val="20"/>
      <color theme="0"/>
      <name val="Trebuchet MS"/>
      <family val="2"/>
    </font>
    <font>
      <sz val="12"/>
      <color theme="0"/>
      <name val="Trebuchet MS"/>
      <family val="2"/>
    </font>
    <font>
      <sz val="9"/>
      <color rgb="FF97D700"/>
      <name val="Trebuchet MS"/>
      <family val="2"/>
    </font>
    <font>
      <sz val="9"/>
      <color theme="0"/>
      <name val="Trebuchet MS"/>
      <family val="2"/>
    </font>
    <font>
      <sz val="9"/>
      <color theme="1"/>
      <name val="Trebuchet MS"/>
      <family val="2"/>
    </font>
    <font>
      <b/>
      <sz val="11"/>
      <color rgb="FF003A5D"/>
      <name val="Trebuchet MS"/>
      <family val="2"/>
    </font>
    <font>
      <sz val="11"/>
      <color theme="1" tint="0.34998626667073579"/>
      <name val="Trebuchet MS"/>
      <family val="2"/>
    </font>
    <font>
      <sz val="11"/>
      <color theme="1"/>
      <name val="Trebuchet MS"/>
      <family val="2"/>
    </font>
    <font>
      <sz val="10"/>
      <color theme="4" tint="-0.249977111117893"/>
      <name val="Trebuchet MS"/>
      <family val="2"/>
    </font>
    <font>
      <sz val="10"/>
      <color theme="1"/>
      <name val="Trebuchet MS"/>
      <family val="2"/>
    </font>
    <font>
      <u/>
      <sz val="11"/>
      <color theme="10"/>
      <name val="Calibri"/>
      <family val="2"/>
    </font>
  </fonts>
  <fills count="10">
    <fill>
      <patternFill patternType="none"/>
    </fill>
    <fill>
      <patternFill patternType="gray125"/>
    </fill>
    <fill>
      <patternFill patternType="solid">
        <fgColor rgb="FFFFFF00"/>
        <bgColor rgb="FF000000"/>
      </patternFill>
    </fill>
    <fill>
      <patternFill patternType="solid">
        <fgColor rgb="FF003B5C"/>
        <bgColor indexed="64"/>
      </patternFill>
    </fill>
    <fill>
      <patternFill patternType="solid">
        <fgColor rgb="FF003B5C"/>
        <bgColor rgb="FF000000"/>
      </patternFill>
    </fill>
    <fill>
      <patternFill patternType="solid">
        <fgColor rgb="FF64BE28"/>
        <bgColor indexed="64"/>
      </patternFill>
    </fill>
    <fill>
      <patternFill patternType="solid">
        <fgColor rgb="FF00B0F0"/>
        <bgColor indexed="64"/>
      </patternFill>
    </fill>
    <fill>
      <patternFill patternType="solid">
        <fgColor rgb="FF003A5D"/>
        <bgColor indexed="64"/>
      </patternFill>
    </fill>
    <fill>
      <patternFill patternType="solid">
        <fgColor rgb="FF92D400"/>
        <bgColor indexed="64"/>
      </patternFill>
    </fill>
    <fill>
      <patternFill patternType="solid">
        <fgColor rgb="FFF3F6F7"/>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style="medium">
        <color theme="0"/>
      </left>
      <right style="medium">
        <color theme="0"/>
      </right>
      <top style="medium">
        <color theme="0"/>
      </top>
      <bottom style="medium">
        <color theme="0"/>
      </bottom>
      <diagonal/>
    </border>
    <border>
      <left style="medium">
        <color theme="0"/>
      </left>
      <right style="thick">
        <color theme="0"/>
      </right>
      <top style="medium">
        <color theme="0"/>
      </top>
      <bottom style="medium">
        <color theme="0"/>
      </bottom>
      <diagonal/>
    </border>
    <border>
      <left style="thick">
        <color theme="0"/>
      </left>
      <right style="thick">
        <color theme="0"/>
      </right>
      <top style="medium">
        <color theme="0"/>
      </top>
      <bottom style="medium">
        <color theme="0"/>
      </bottom>
      <diagonal/>
    </border>
    <border>
      <left style="thick">
        <color theme="0"/>
      </left>
      <right style="medium">
        <color theme="0"/>
      </right>
      <top style="medium">
        <color theme="0"/>
      </top>
      <bottom style="medium">
        <color theme="0"/>
      </bottom>
      <diagonal/>
    </border>
    <border>
      <left style="medium">
        <color theme="0"/>
      </left>
      <right style="thick">
        <color theme="0"/>
      </right>
      <top style="medium">
        <color theme="0"/>
      </top>
      <bottom style="medium">
        <color rgb="FF92D400"/>
      </bottom>
      <diagonal/>
    </border>
    <border>
      <left style="thick">
        <color theme="0"/>
      </left>
      <right style="thick">
        <color theme="0"/>
      </right>
      <top/>
      <bottom style="medium">
        <color rgb="FF92D400"/>
      </bottom>
      <diagonal/>
    </border>
    <border>
      <left style="thick">
        <color theme="0"/>
      </left>
      <right style="medium">
        <color theme="0"/>
      </right>
      <top/>
      <bottom style="medium">
        <color rgb="FF92D400"/>
      </bottom>
      <diagonal/>
    </border>
    <border>
      <left style="medium">
        <color theme="0"/>
      </left>
      <right style="thick">
        <color theme="0"/>
      </right>
      <top style="medium">
        <color theme="0"/>
      </top>
      <bottom/>
      <diagonal/>
    </border>
    <border>
      <left style="thick">
        <color theme="0"/>
      </left>
      <right style="thick">
        <color theme="0"/>
      </right>
      <top/>
      <bottom/>
      <diagonal/>
    </border>
  </borders>
  <cellStyleXfs count="3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4" fontId="2" fillId="0" borderId="0" applyFont="0" applyFill="0" applyBorder="0" applyAlignment="0" applyProtection="0"/>
    <xf numFmtId="0" fontId="1" fillId="0" borderId="0"/>
    <xf numFmtId="0" fontId="28" fillId="0" borderId="0" applyNumberFormat="0" applyFill="0" applyBorder="0" applyAlignment="0" applyProtection="0">
      <alignment vertical="top"/>
      <protection locked="0"/>
    </xf>
  </cellStyleXfs>
  <cellXfs count="118">
    <xf numFmtId="0" fontId="0" fillId="0" borderId="0" xfId="0"/>
    <xf numFmtId="0" fontId="0" fillId="0" borderId="0" xfId="0" applyAlignment="1">
      <alignment wrapText="1"/>
    </xf>
    <xf numFmtId="0" fontId="0" fillId="0" borderId="1" xfId="0" applyBorder="1" applyAlignment="1">
      <alignment wrapText="1"/>
    </xf>
    <xf numFmtId="9" fontId="0" fillId="0" borderId="1" xfId="33" applyFont="1" applyBorder="1"/>
    <xf numFmtId="0" fontId="7" fillId="3" borderId="1" xfId="0" applyFont="1" applyFill="1" applyBorder="1" applyAlignment="1">
      <alignment horizontal="center"/>
    </xf>
    <xf numFmtId="0" fontId="7" fillId="3" borderId="1" xfId="0" applyFont="1" applyFill="1" applyBorder="1"/>
    <xf numFmtId="0" fontId="0" fillId="0" borderId="1" xfId="0" applyBorder="1"/>
    <xf numFmtId="0" fontId="7" fillId="5" borderId="1" xfId="0" applyFont="1" applyFill="1" applyBorder="1"/>
    <xf numFmtId="0" fontId="0" fillId="0" borderId="0" xfId="0" applyAlignment="1">
      <alignment horizontal="center" wrapText="1"/>
    </xf>
    <xf numFmtId="0" fontId="10" fillId="2" borderId="1" xfId="0" applyFont="1" applyFill="1" applyBorder="1" applyAlignment="1" applyProtection="1">
      <alignment horizontal="center" vertical="center" wrapText="1"/>
      <protection locked="0"/>
    </xf>
    <xf numFmtId="0" fontId="8" fillId="5" borderId="1" xfId="0" applyFont="1" applyFill="1" applyBorder="1"/>
    <xf numFmtId="0" fontId="8" fillId="5" borderId="1" xfId="0" applyFont="1" applyFill="1" applyBorder="1" applyAlignment="1">
      <alignment wrapText="1"/>
    </xf>
    <xf numFmtId="0" fontId="8" fillId="5" borderId="7" xfId="0" applyFont="1" applyFill="1" applyBorder="1"/>
    <xf numFmtId="0" fontId="8" fillId="5" borderId="4" xfId="0" applyFont="1" applyFill="1" applyBorder="1" applyAlignment="1">
      <alignment wrapText="1"/>
    </xf>
    <xf numFmtId="0" fontId="0" fillId="0" borderId="7" xfId="0" applyBorder="1" applyAlignment="1">
      <alignment wrapText="1"/>
    </xf>
    <xf numFmtId="0" fontId="0" fillId="0" borderId="7" xfId="0" applyBorder="1"/>
    <xf numFmtId="9" fontId="0" fillId="0" borderId="7" xfId="33" applyFont="1" applyBorder="1"/>
    <xf numFmtId="2" fontId="0" fillId="0" borderId="7" xfId="0" applyNumberFormat="1" applyBorder="1"/>
    <xf numFmtId="9" fontId="0" fillId="0" borderId="7" xfId="0" applyNumberFormat="1" applyBorder="1" applyAlignment="1">
      <alignment wrapText="1"/>
    </xf>
    <xf numFmtId="9" fontId="0" fillId="0" borderId="7" xfId="33" applyFont="1" applyBorder="1" applyAlignment="1">
      <alignment wrapText="1"/>
    </xf>
    <xf numFmtId="0" fontId="0" fillId="0" borderId="0" xfId="0" applyAlignment="1">
      <alignment horizontal="center" vertical="center" wrapText="1"/>
    </xf>
    <xf numFmtId="0" fontId="0" fillId="6" borderId="7" xfId="0" applyFill="1" applyBorder="1"/>
    <xf numFmtId="0" fontId="10" fillId="0" borderId="0" xfId="0" applyFont="1" applyAlignment="1" applyProtection="1">
      <alignment horizontal="center" vertical="center" wrapText="1"/>
      <protection locked="0"/>
    </xf>
    <xf numFmtId="0" fontId="10" fillId="0" borderId="0" xfId="0" applyFont="1" applyAlignment="1">
      <alignment vertical="center" wrapText="1"/>
    </xf>
    <xf numFmtId="0" fontId="10" fillId="0" borderId="0" xfId="0" applyFont="1" applyAlignment="1">
      <alignment horizontal="left" vertical="center"/>
    </xf>
    <xf numFmtId="0" fontId="10" fillId="0" borderId="0" xfId="0" applyFont="1" applyAlignment="1">
      <alignment horizontal="left" vertical="center" wrapText="1"/>
    </xf>
    <xf numFmtId="0" fontId="12" fillId="0" borderId="0" xfId="0" applyFont="1" applyAlignment="1">
      <alignment horizontal="left" vertical="center" wrapText="1"/>
    </xf>
    <xf numFmtId="0" fontId="11" fillId="0" borderId="0" xfId="0" applyFont="1" applyAlignment="1">
      <alignment vertical="top" wrapText="1"/>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0" xfId="0" applyFont="1" applyAlignment="1">
      <alignment vertical="center" wrapText="1"/>
    </xf>
    <xf numFmtId="0" fontId="11" fillId="0" borderId="0" xfId="0" applyFont="1" applyAlignment="1">
      <alignment horizontal="left" vertical="center"/>
    </xf>
    <xf numFmtId="0" fontId="12"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17" fontId="10" fillId="2" borderId="1" xfId="0" applyNumberFormat="1" applyFont="1" applyFill="1" applyBorder="1" applyAlignment="1" applyProtection="1">
      <alignment horizontal="center" vertical="center" wrapText="1"/>
      <protection locked="0"/>
    </xf>
    <xf numFmtId="2" fontId="10" fillId="2" borderId="1" xfId="0" applyNumberFormat="1" applyFont="1" applyFill="1" applyBorder="1" applyAlignment="1" applyProtection="1">
      <alignment horizontal="center" vertical="center" wrapText="1"/>
      <protection locked="0"/>
    </xf>
    <xf numFmtId="9" fontId="0" fillId="0" borderId="1" xfId="33" applyFont="1" applyBorder="1" applyAlignment="1">
      <alignment wrapText="1"/>
    </xf>
    <xf numFmtId="9" fontId="0" fillId="0" borderId="1" xfId="0" applyNumberFormat="1" applyBorder="1" applyAlignment="1">
      <alignment wrapText="1"/>
    </xf>
    <xf numFmtId="2" fontId="0" fillId="0" borderId="1" xfId="0" applyNumberFormat="1" applyBorder="1" applyAlignment="1">
      <alignment wrapText="1"/>
    </xf>
    <xf numFmtId="164" fontId="0" fillId="0" borderId="1" xfId="36" applyFont="1" applyBorder="1" applyAlignment="1">
      <alignment wrapText="1"/>
    </xf>
    <xf numFmtId="164" fontId="0" fillId="0" borderId="1" xfId="0" applyNumberFormat="1" applyBorder="1" applyAlignment="1">
      <alignment wrapText="1"/>
    </xf>
    <xf numFmtId="0" fontId="0" fillId="6" borderId="1" xfId="0" applyFill="1" applyBorder="1"/>
    <xf numFmtId="0" fontId="8" fillId="3" borderId="2"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4" borderId="5" xfId="0" applyFont="1" applyFill="1" applyBorder="1" applyAlignment="1">
      <alignment horizontal="center" vertical="center" wrapText="1"/>
    </xf>
    <xf numFmtId="0" fontId="10" fillId="0" borderId="0" xfId="0" applyFont="1"/>
    <xf numFmtId="0" fontId="12" fillId="0" borderId="3" xfId="0" applyFont="1" applyBorder="1" applyAlignment="1">
      <alignment horizontal="left" vertical="center" wrapText="1"/>
    </xf>
    <xf numFmtId="0" fontId="0" fillId="0" borderId="1" xfId="0" applyBorder="1" applyAlignment="1">
      <alignment horizontal="right"/>
    </xf>
    <xf numFmtId="0" fontId="10" fillId="0" borderId="1" xfId="0" applyFont="1" applyBorder="1" applyAlignment="1">
      <alignment vertical="center" wrapText="1"/>
    </xf>
    <xf numFmtId="9" fontId="0" fillId="0" borderId="8" xfId="33" applyFont="1" applyBorder="1"/>
    <xf numFmtId="9" fontId="0" fillId="0" borderId="8" xfId="0" applyNumberFormat="1" applyBorder="1"/>
    <xf numFmtId="0" fontId="0" fillId="0" borderId="8" xfId="0" applyBorder="1"/>
    <xf numFmtId="0" fontId="0" fillId="0" borderId="1" xfId="0" applyBorder="1" applyAlignment="1">
      <alignment horizontal="center"/>
    </xf>
    <xf numFmtId="2" fontId="0" fillId="0" borderId="7" xfId="33" applyNumberFormat="1" applyFont="1" applyBorder="1" applyAlignment="1">
      <alignment wrapText="1"/>
    </xf>
    <xf numFmtId="165" fontId="10" fillId="2" borderId="1" xfId="0" applyNumberFormat="1" applyFont="1" applyFill="1" applyBorder="1" applyAlignment="1" applyProtection="1">
      <alignment horizontal="center" vertical="center" wrapText="1"/>
      <protection locked="0"/>
    </xf>
    <xf numFmtId="1" fontId="10" fillId="2" borderId="1" xfId="0" applyNumberFormat="1" applyFont="1" applyFill="1" applyBorder="1" applyAlignment="1" applyProtection="1">
      <alignment horizontal="center" vertical="center" wrapText="1"/>
      <protection locked="0"/>
    </xf>
    <xf numFmtId="166" fontId="10" fillId="2" borderId="1" xfId="0" applyNumberFormat="1" applyFont="1" applyFill="1" applyBorder="1" applyAlignment="1" applyProtection="1">
      <alignment horizontal="center" vertical="center" wrapText="1"/>
      <protection locked="0"/>
    </xf>
    <xf numFmtId="0" fontId="0" fillId="0" borderId="8" xfId="0" applyBorder="1" applyAlignment="1">
      <alignment horizontal="left" vertical="center"/>
    </xf>
    <xf numFmtId="1" fontId="0" fillId="0" borderId="7" xfId="0" applyNumberFormat="1" applyBorder="1"/>
    <xf numFmtId="0" fontId="1" fillId="7" borderId="0" xfId="37" applyFill="1" applyAlignment="1">
      <alignment horizontal="left" vertical="center"/>
    </xf>
    <xf numFmtId="0" fontId="1" fillId="7" borderId="0" xfId="37" applyFill="1" applyAlignment="1">
      <alignment horizontal="left" vertical="center" wrapText="1"/>
    </xf>
    <xf numFmtId="0" fontId="1" fillId="0" borderId="0" xfId="37" applyAlignment="1">
      <alignment horizontal="left" vertical="center"/>
    </xf>
    <xf numFmtId="0" fontId="15" fillId="7" borderId="0" xfId="37" applyFont="1" applyFill="1" applyAlignment="1">
      <alignment horizontal="left" vertical="center"/>
    </xf>
    <xf numFmtId="0" fontId="16" fillId="7" borderId="0" xfId="37" applyFont="1" applyFill="1" applyAlignment="1">
      <alignment horizontal="left" vertical="center" wrapText="1"/>
    </xf>
    <xf numFmtId="0" fontId="17" fillId="7" borderId="0" xfId="37" applyFont="1" applyFill="1" applyAlignment="1">
      <alignment horizontal="left" vertical="center" wrapText="1"/>
    </xf>
    <xf numFmtId="0" fontId="18" fillId="7" borderId="0" xfId="37" applyFont="1" applyFill="1" applyAlignment="1">
      <alignment horizontal="left" vertical="center"/>
    </xf>
    <xf numFmtId="0" fontId="19" fillId="7" borderId="0" xfId="37" applyFont="1" applyFill="1" applyAlignment="1">
      <alignment horizontal="left" vertical="center"/>
    </xf>
    <xf numFmtId="0" fontId="20" fillId="7" borderId="0" xfId="37" applyFont="1" applyFill="1" applyAlignment="1">
      <alignment horizontal="left" vertical="center"/>
    </xf>
    <xf numFmtId="0" fontId="21" fillId="7" borderId="0" xfId="37" applyFont="1" applyFill="1" applyAlignment="1">
      <alignment horizontal="left" vertical="center" wrapText="1"/>
    </xf>
    <xf numFmtId="0" fontId="22" fillId="7" borderId="0" xfId="37" applyFont="1" applyFill="1" applyAlignment="1">
      <alignment horizontal="left" vertical="center"/>
    </xf>
    <xf numFmtId="0" fontId="22" fillId="0" borderId="0" xfId="37" applyFont="1" applyAlignment="1">
      <alignment horizontal="left" vertical="center"/>
    </xf>
    <xf numFmtId="0" fontId="23" fillId="8" borderId="9" xfId="37" applyFont="1" applyFill="1" applyBorder="1" applyAlignment="1">
      <alignment horizontal="center" vertical="center"/>
    </xf>
    <xf numFmtId="0" fontId="23" fillId="8" borderId="9" xfId="37" applyFont="1" applyFill="1" applyBorder="1" applyAlignment="1">
      <alignment horizontal="center" vertical="center" wrapText="1"/>
    </xf>
    <xf numFmtId="0" fontId="24" fillId="7" borderId="0" xfId="37" applyFont="1" applyFill="1" applyAlignment="1">
      <alignment horizontal="center" vertical="center" wrapText="1"/>
    </xf>
    <xf numFmtId="0" fontId="25" fillId="0" borderId="0" xfId="37" applyFont="1"/>
    <xf numFmtId="0" fontId="25" fillId="7" borderId="0" xfId="37" applyFont="1" applyFill="1"/>
    <xf numFmtId="0" fontId="26" fillId="9" borderId="11" xfId="37" applyFont="1" applyFill="1" applyBorder="1" applyAlignment="1">
      <alignment horizontal="left" vertical="center" wrapText="1"/>
    </xf>
    <xf numFmtId="0" fontId="26" fillId="9" borderId="11" xfId="37" applyFont="1" applyFill="1" applyBorder="1" applyAlignment="1">
      <alignment horizontal="center" vertical="center"/>
    </xf>
    <xf numFmtId="167" fontId="26" fillId="9" borderId="12" xfId="37" applyNumberFormat="1" applyFont="1" applyFill="1" applyBorder="1" applyAlignment="1">
      <alignment horizontal="center" vertical="center"/>
    </xf>
    <xf numFmtId="0" fontId="27" fillId="7" borderId="0" xfId="37" applyFont="1" applyFill="1"/>
    <xf numFmtId="0" fontId="27" fillId="0" borderId="0" xfId="37" applyFont="1"/>
    <xf numFmtId="0" fontId="1" fillId="7" borderId="0" xfId="37" applyFill="1"/>
    <xf numFmtId="0" fontId="1" fillId="7" borderId="0" xfId="37" applyFill="1" applyAlignment="1">
      <alignment horizontal="center" vertical="center"/>
    </xf>
    <xf numFmtId="0" fontId="1" fillId="0" borderId="0" xfId="37"/>
    <xf numFmtId="0" fontId="21" fillId="7" borderId="0" xfId="37" applyFont="1" applyFill="1" applyAlignment="1">
      <alignment horizontal="left" vertical="center"/>
    </xf>
    <xf numFmtId="0" fontId="14" fillId="7" borderId="0" xfId="37" applyFont="1" applyFill="1" applyAlignment="1">
      <alignment horizontal="left" vertical="center" wrapText="1"/>
    </xf>
    <xf numFmtId="0" fontId="14" fillId="7" borderId="0" xfId="37" applyFont="1" applyFill="1" applyAlignment="1">
      <alignment horizontal="center" vertical="center"/>
    </xf>
    <xf numFmtId="0" fontId="14" fillId="7" borderId="0" xfId="37" applyFont="1" applyFill="1"/>
    <xf numFmtId="0" fontId="14" fillId="0" borderId="0" xfId="37" applyFont="1" applyAlignment="1">
      <alignment horizontal="center" vertical="center"/>
    </xf>
    <xf numFmtId="0" fontId="14" fillId="0" borderId="0" xfId="37" applyFont="1" applyAlignment="1">
      <alignment horizontal="left" vertical="center" wrapText="1"/>
    </xf>
    <xf numFmtId="0" fontId="14" fillId="0" borderId="0" xfId="37" applyFont="1"/>
    <xf numFmtId="0" fontId="1" fillId="0" borderId="0" xfId="37" applyAlignment="1">
      <alignment horizontal="center" vertical="center"/>
    </xf>
    <xf numFmtId="0" fontId="1" fillId="0" borderId="0" xfId="37" applyAlignment="1">
      <alignment horizontal="left" vertical="center" wrapText="1"/>
    </xf>
    <xf numFmtId="49" fontId="26" fillId="9" borderId="10" xfId="37" applyNumberFormat="1" applyFont="1" applyFill="1" applyBorder="1" applyAlignment="1">
      <alignment horizontal="center" vertical="center"/>
    </xf>
    <xf numFmtId="0" fontId="0" fillId="0" borderId="1" xfId="0" applyBorder="1" applyAlignment="1">
      <alignment horizontal="center" wrapText="1"/>
    </xf>
    <xf numFmtId="49" fontId="26" fillId="9" borderId="16" xfId="37" applyNumberFormat="1" applyFont="1" applyFill="1" applyBorder="1" applyAlignment="1">
      <alignment horizontal="center" vertical="center"/>
    </xf>
    <xf numFmtId="0" fontId="26" fillId="9" borderId="17" xfId="37" applyFont="1" applyFill="1" applyBorder="1" applyAlignment="1">
      <alignment horizontal="left" vertical="center" wrapText="1"/>
    </xf>
    <xf numFmtId="0" fontId="26" fillId="9" borderId="17" xfId="37" applyFont="1" applyFill="1" applyBorder="1" applyAlignment="1">
      <alignment horizontal="center" vertical="center"/>
    </xf>
    <xf numFmtId="0" fontId="26" fillId="9" borderId="13" xfId="0" applyFont="1" applyFill="1" applyBorder="1" applyAlignment="1">
      <alignment horizontal="center" vertical="center"/>
    </xf>
    <xf numFmtId="0" fontId="26" fillId="9" borderId="14" xfId="0" applyFont="1" applyFill="1" applyBorder="1" applyAlignment="1">
      <alignment horizontal="left" vertical="center" wrapText="1"/>
    </xf>
    <xf numFmtId="0" fontId="26" fillId="9" borderId="14" xfId="0" applyFont="1" applyFill="1" applyBorder="1" applyAlignment="1">
      <alignment horizontal="center" vertical="center"/>
    </xf>
    <xf numFmtId="167" fontId="26" fillId="9" borderId="15" xfId="0" applyNumberFormat="1" applyFont="1" applyFill="1" applyBorder="1" applyAlignment="1">
      <alignment horizontal="center" vertical="center"/>
    </xf>
    <xf numFmtId="9" fontId="0" fillId="0" borderId="0" xfId="33" applyFont="1"/>
    <xf numFmtId="0" fontId="0" fillId="0" borderId="8" xfId="0" applyBorder="1" applyAlignment="1">
      <alignment wrapText="1"/>
    </xf>
    <xf numFmtId="9" fontId="0" fillId="0" borderId="4" xfId="33" applyFont="1" applyBorder="1"/>
    <xf numFmtId="0" fontId="8" fillId="3" borderId="2" xfId="0" applyFont="1" applyFill="1" applyBorder="1" applyAlignment="1">
      <alignment horizontal="center" vertical="center" wrapText="1"/>
    </xf>
    <xf numFmtId="0" fontId="8" fillId="3" borderId="0" xfId="0" applyFont="1" applyFill="1" applyAlignment="1">
      <alignment horizontal="center" vertical="center" wrapText="1"/>
    </xf>
    <xf numFmtId="0" fontId="0" fillId="0" borderId="0" xfId="0" applyAlignment="1">
      <alignment horizontal="left" wrapText="1"/>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7" fillId="3" borderId="1" xfId="0" applyFont="1" applyFill="1" applyBorder="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wrapText="1"/>
    </xf>
  </cellXfs>
  <cellStyles count="39">
    <cellStyle name="Comma" xfId="36" builtinId="3"/>
    <cellStyle name="Followed Hyperlink" xfId="20" builtinId="9" hidden="1"/>
    <cellStyle name="Followed Hyperlink" xfId="14" builtinId="9" hidden="1"/>
    <cellStyle name="Followed Hyperlink" xfId="6" builtinId="9" hidden="1"/>
    <cellStyle name="Followed Hyperlink" xfId="4" builtinId="9" hidden="1"/>
    <cellStyle name="Followed Hyperlink" xfId="2" builtinId="9" hidden="1"/>
    <cellStyle name="Followed Hyperlink" xfId="8" builtinId="9" hidden="1"/>
    <cellStyle name="Followed Hyperlink" xfId="18" builtinId="9" hidden="1"/>
    <cellStyle name="Followed Hyperlink" xfId="35" builtinId="9" hidden="1"/>
    <cellStyle name="Followed Hyperlink" xfId="30" builtinId="9" hidden="1"/>
    <cellStyle name="Followed Hyperlink" xfId="10" builtinId="9" hidden="1"/>
    <cellStyle name="Followed Hyperlink" xfId="12" builtinId="9" hidden="1"/>
    <cellStyle name="Followed Hyperlink" xfId="16" builtinId="9" hidden="1"/>
    <cellStyle name="Followed Hyperlink" xfId="22" builtinId="9" hidden="1"/>
    <cellStyle name="Followed Hyperlink" xfId="28" builtinId="9" hidden="1"/>
    <cellStyle name="Followed Hyperlink" xfId="32" builtinId="9" hidden="1"/>
    <cellStyle name="Followed Hyperlink" xfId="26" builtinId="9" hidden="1"/>
    <cellStyle name="Followed Hyperlink" xfId="24" builtinId="9" hidden="1"/>
    <cellStyle name="Hyperlink" xfId="31" builtinId="8" hidden="1"/>
    <cellStyle name="Hyperlink" xfId="15" builtinId="8" hidden="1"/>
    <cellStyle name="Hyperlink" xfId="7" builtinId="8" hidden="1"/>
    <cellStyle name="Hyperlink" xfId="9" builtinId="8" hidden="1"/>
    <cellStyle name="Hyperlink" xfId="11" builtinId="8" hidden="1"/>
    <cellStyle name="Hyperlink" xfId="13" builtinId="8" hidden="1"/>
    <cellStyle name="Hyperlink" xfId="3" builtinId="8" hidden="1"/>
    <cellStyle name="Hyperlink" xfId="1" builtinId="8" hidden="1"/>
    <cellStyle name="Hyperlink" xfId="5" builtinId="8" hidden="1"/>
    <cellStyle name="Hyperlink" xfId="34" builtinId="8" hidden="1"/>
    <cellStyle name="Hyperlink" xfId="23" builtinId="8" hidden="1"/>
    <cellStyle name="Hyperlink" xfId="25" builtinId="8" hidden="1"/>
    <cellStyle name="Hyperlink" xfId="27" builtinId="8" hidden="1"/>
    <cellStyle name="Hyperlink" xfId="29" builtinId="8" hidden="1"/>
    <cellStyle name="Hyperlink" xfId="19" builtinId="8" hidden="1"/>
    <cellStyle name="Hyperlink" xfId="21" builtinId="8" hidden="1"/>
    <cellStyle name="Hyperlink" xfId="17" builtinId="8" hidden="1"/>
    <cellStyle name="Hyperlink 2" xfId="38" xr:uid="{83761A49-9C7C-4F30-9C88-C33498C40F7B}"/>
    <cellStyle name="Normal" xfId="0" builtinId="0"/>
    <cellStyle name="Normal 2" xfId="37" xr:uid="{27F71BD5-84B2-4964-B089-92918B90906C}"/>
    <cellStyle name="Percent" xfId="33" builtinId="5"/>
  </cellStyles>
  <dxfs count="19">
    <dxf>
      <font>
        <color rgb="FFFF0000"/>
      </font>
    </dxf>
    <dxf>
      <font>
        <color rgb="FFFF0000"/>
      </font>
    </dxf>
    <dxf>
      <font>
        <color rgb="FFFF0000"/>
      </font>
    </dxf>
    <dxf>
      <font>
        <color rgb="FFFF0000"/>
      </font>
    </dxf>
    <dxf>
      <font>
        <color rgb="FFFF0000"/>
      </font>
    </dxf>
    <dxf>
      <font>
        <color rgb="FF64BE28"/>
      </font>
    </dxf>
    <dxf>
      <font>
        <color rgb="FFC00000"/>
      </font>
    </dxf>
    <dxf>
      <font>
        <color rgb="FF64BE28"/>
      </font>
    </dxf>
    <dxf>
      <font>
        <color rgb="FFC00000"/>
      </font>
    </dxf>
    <dxf>
      <font>
        <color rgb="FFFF0000"/>
      </font>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border outline="0">
        <left style="thin">
          <color auto="1"/>
        </left>
      </border>
      <protection locked="0" hidden="0"/>
    </dxf>
    <dxf>
      <font>
        <b val="0"/>
        <i val="0"/>
        <strike val="0"/>
        <condense val="0"/>
        <extend val="0"/>
        <outline val="0"/>
        <shadow val="0"/>
        <u val="none"/>
        <vertAlign val="baseline"/>
        <sz val="12"/>
        <color auto="1"/>
        <name val="Calibri"/>
        <scheme val="minor"/>
      </font>
      <fill>
        <patternFill patternType="solid">
          <fgColor rgb="FF000000"/>
          <bgColor rgb="FFFFFF0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Calibri"/>
        <scheme val="minor"/>
      </font>
      <alignment horizontal="general" vertical="center" textRotation="0" wrapText="1" indent="0" justifyLastLine="0" shrinkToFit="0" readingOrder="0"/>
      <border outline="0">
        <right style="thin">
          <color auto="1"/>
        </right>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center" textRotation="0" wrapText="0" indent="0" justifyLastLine="0" shrinkToFit="0" readingOrder="0"/>
    </dxf>
    <dxf>
      <border outline="0">
        <top style="thin">
          <color auto="1"/>
        </top>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2"/>
        <color theme="0"/>
        <name val="Calibri"/>
        <scheme val="minor"/>
      </font>
      <fill>
        <patternFill patternType="solid">
          <fgColor indexed="64"/>
          <bgColor rgb="FF003B5C"/>
        </patternFill>
      </fill>
      <alignment horizontal="center" vertical="center" textRotation="0" wrapText="0" indent="0" justifyLastLine="0" shrinkToFit="0" readingOrder="0"/>
    </dxf>
  </dxfs>
  <tableStyles count="1" defaultTableStyle="TableStyleMedium9" defaultPivotStyle="PivotStyleMedium7">
    <tableStyle name="Table Style 1" pivot="0" count="0" xr9:uid="{00000000-0011-0000-FFFF-FFFF00000000}"/>
  </tableStyles>
  <colors>
    <mruColors>
      <color rgb="FFC00000"/>
      <color rgb="FF64BE28"/>
      <color rgb="FFFF0000"/>
      <color rgb="FF003B5C"/>
      <color rgb="FF148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368756</xdr:colOff>
      <xdr:row>0</xdr:row>
      <xdr:rowOff>90444</xdr:rowOff>
    </xdr:from>
    <xdr:to>
      <xdr:col>6</xdr:col>
      <xdr:colOff>9578</xdr:colOff>
      <xdr:row>3</xdr:row>
      <xdr:rowOff>126844</xdr:rowOff>
    </xdr:to>
    <xdr:pic>
      <xdr:nvPicPr>
        <xdr:cNvPr id="2" name="Picture 1">
          <a:extLst>
            <a:ext uri="{FF2B5EF4-FFF2-40B4-BE49-F238E27FC236}">
              <a16:creationId xmlns:a16="http://schemas.microsoft.com/office/drawing/2014/main" id="{108BA462-E298-4461-9E12-5EB935681D32}"/>
            </a:ext>
          </a:extLst>
        </xdr:cNvPr>
        <xdr:cNvPicPr>
          <a:picLocks noChangeAspect="1"/>
        </xdr:cNvPicPr>
      </xdr:nvPicPr>
      <xdr:blipFill>
        <a:blip xmlns:r="http://schemas.openxmlformats.org/officeDocument/2006/relationships" r:embed="rId1"/>
        <a:stretch>
          <a:fillRect/>
        </a:stretch>
      </xdr:blipFill>
      <xdr:spPr>
        <a:xfrm>
          <a:off x="11805106" y="90444"/>
          <a:ext cx="1206097" cy="880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1346198</xdr:colOff>
      <xdr:row>1</xdr:row>
      <xdr:rowOff>34196</xdr:rowOff>
    </xdr:from>
    <xdr:to>
      <xdr:col>5</xdr:col>
      <xdr:colOff>2432049</xdr:colOff>
      <xdr:row>1</xdr:row>
      <xdr:rowOff>800099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349065" y="34196"/>
          <a:ext cx="1079501" cy="7659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254000</xdr:colOff>
      <xdr:row>1</xdr:row>
      <xdr:rowOff>76200</xdr:rowOff>
    </xdr:from>
    <xdr:to>
      <xdr:col>5</xdr:col>
      <xdr:colOff>1333501</xdr:colOff>
      <xdr:row>1</xdr:row>
      <xdr:rowOff>845278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0248900" y="279400"/>
          <a:ext cx="1079501" cy="7659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88900</xdr:colOff>
      <xdr:row>1</xdr:row>
      <xdr:rowOff>101600</xdr:rowOff>
    </xdr:from>
    <xdr:to>
      <xdr:col>6</xdr:col>
      <xdr:colOff>1171576</xdr:colOff>
      <xdr:row>1</xdr:row>
      <xdr:rowOff>864328</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9652000" y="304800"/>
          <a:ext cx="1079501" cy="76590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F64" totalsRowShown="0" headerRowDxfId="18" dataDxfId="17" tableBorderDxfId="16">
  <autoFilter ref="A5:F64" xr:uid="{00000000-0009-0000-0100-000001000000}"/>
  <sortState xmlns:xlrd2="http://schemas.microsoft.com/office/spreadsheetml/2017/richdata2" ref="A6:F63">
    <sortCondition ref="A5:A63"/>
  </sortState>
  <tableColumns count="6">
    <tableColumn id="1" xr3:uid="{00000000-0010-0000-0000-000001000000}" name="Relevant Indicator (Core in Red)" dataDxfId="15"/>
    <tableColumn id="2" xr3:uid="{00000000-0010-0000-0000-000002000000}" name="Input Request" dataDxfId="14"/>
    <tableColumn id="3" xr3:uid="{00000000-0010-0000-0000-000003000000}" name="Input" dataDxfId="13"/>
    <tableColumn id="4" xr3:uid="{00000000-0010-0000-0000-000004000000}" name="Unit" dataDxfId="12"/>
    <tableColumn id="5" xr3:uid="{00000000-0010-0000-0000-000005000000}" name="Personal Note" dataDxfId="11"/>
    <tableColumn id="6" xr3:uid="{00000000-0010-0000-0000-000006000000}" name="Description" dataDxfId="1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81DA7-828C-4E8B-878E-A3BAB6E96190}">
  <sheetPr codeName="Sheet1">
    <tabColor rgb="FFFF0000"/>
  </sheetPr>
  <dimension ref="B1:DT27"/>
  <sheetViews>
    <sheetView zoomScale="90" zoomScaleNormal="90" zoomScaleSheetLayoutView="70" zoomScalePageLayoutView="90" workbookViewId="0">
      <selection activeCell="E34" sqref="E34"/>
    </sheetView>
  </sheetViews>
  <sheetFormatPr defaultColWidth="9.83203125" defaultRowHeight="14.5"/>
  <cols>
    <col min="1" max="1" width="3.33203125" style="85" customWidth="1"/>
    <col min="2" max="2" width="9.83203125" style="93" customWidth="1"/>
    <col min="3" max="3" width="15.33203125" style="94" customWidth="1"/>
    <col min="4" max="4" width="15.33203125" style="93" customWidth="1"/>
    <col min="5" max="5" width="106.08203125" style="85" customWidth="1"/>
    <col min="6" max="6" width="20.58203125" style="85" bestFit="1" customWidth="1"/>
    <col min="7" max="7" width="3.33203125" style="85" customWidth="1"/>
    <col min="8" max="16384" width="9.83203125" style="85"/>
  </cols>
  <sheetData>
    <row r="1" spans="2:124" s="61" customFormat="1">
      <c r="C1" s="62"/>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row>
    <row r="2" spans="2:124" s="61" customFormat="1" ht="28.5">
      <c r="B2" s="64" t="s">
        <v>352</v>
      </c>
      <c r="C2" s="65"/>
      <c r="E2" s="66"/>
      <c r="F2" s="66"/>
      <c r="G2" s="66"/>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row>
    <row r="3" spans="2:124" s="61" customFormat="1" ht="23.25" customHeight="1">
      <c r="B3" s="67" t="s">
        <v>312</v>
      </c>
      <c r="C3" s="66"/>
      <c r="D3" s="66"/>
      <c r="E3" s="66"/>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row>
    <row r="4" spans="2:124" s="61" customFormat="1" ht="23.25" customHeight="1">
      <c r="B4" s="68" t="s">
        <v>351</v>
      </c>
      <c r="C4" s="66"/>
      <c r="D4" s="66"/>
      <c r="E4" s="66"/>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row>
    <row r="5" spans="2:124" s="71" customFormat="1" ht="12">
      <c r="B5" s="69" t="s">
        <v>350</v>
      </c>
      <c r="C5" s="70"/>
      <c r="D5" s="70"/>
      <c r="E5" s="70"/>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row>
    <row r="6" spans="2:124" s="71" customFormat="1" ht="12">
      <c r="B6" s="69" t="s">
        <v>313</v>
      </c>
      <c r="C6" s="70"/>
      <c r="D6" s="70"/>
      <c r="E6" s="70"/>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row>
    <row r="7" spans="2:124" s="71" customFormat="1" ht="12">
      <c r="B7" s="69" t="s">
        <v>314</v>
      </c>
      <c r="C7" s="70"/>
      <c r="D7" s="70"/>
      <c r="G7" s="70"/>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row>
    <row r="8" spans="2:124" s="71" customFormat="1" ht="12.5" thickBot="1">
      <c r="B8" s="69"/>
      <c r="C8" s="70"/>
      <c r="D8" s="70"/>
      <c r="G8" s="70"/>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row>
    <row r="9" spans="2:124" s="77" customFormat="1" ht="15" thickBot="1">
      <c r="B9" s="73" t="s">
        <v>315</v>
      </c>
      <c r="C9" s="74" t="s">
        <v>316</v>
      </c>
      <c r="D9" s="73" t="s">
        <v>317</v>
      </c>
      <c r="E9" s="73" t="s">
        <v>318</v>
      </c>
      <c r="F9" s="73" t="s">
        <v>319</v>
      </c>
      <c r="G9" s="75"/>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row>
    <row r="10" spans="2:124" s="77" customFormat="1" ht="15" thickBot="1">
      <c r="B10" s="97" t="s">
        <v>329</v>
      </c>
      <c r="C10" s="98"/>
      <c r="D10" s="99"/>
      <c r="E10" s="98" t="s">
        <v>320</v>
      </c>
      <c r="F10" s="80" t="s">
        <v>330</v>
      </c>
      <c r="G10" s="75"/>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row>
    <row r="11" spans="2:124" s="81" customFormat="1" ht="14" thickBot="1">
      <c r="B11" s="95" t="s">
        <v>329</v>
      </c>
      <c r="C11" s="78" t="s">
        <v>336</v>
      </c>
      <c r="D11" s="79">
        <v>10</v>
      </c>
      <c r="E11" s="78" t="s">
        <v>335</v>
      </c>
      <c r="F11" s="80" t="s">
        <v>334</v>
      </c>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row>
    <row r="12" spans="2:124" s="81" customFormat="1" ht="27.5" thickBot="1">
      <c r="B12" s="97" t="s">
        <v>329</v>
      </c>
      <c r="C12" s="98" t="s">
        <v>338</v>
      </c>
      <c r="D12" s="79" t="s">
        <v>339</v>
      </c>
      <c r="E12" s="78" t="s">
        <v>337</v>
      </c>
      <c r="F12" s="80" t="s">
        <v>334</v>
      </c>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row>
    <row r="13" spans="2:124" s="81" customFormat="1" ht="14" thickBot="1">
      <c r="B13" s="97" t="s">
        <v>329</v>
      </c>
      <c r="C13" s="78" t="s">
        <v>331</v>
      </c>
      <c r="D13" s="79" t="s">
        <v>339</v>
      </c>
      <c r="E13" s="78" t="s">
        <v>340</v>
      </c>
      <c r="F13" s="80" t="s">
        <v>334</v>
      </c>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row>
    <row r="14" spans="2:124" s="81" customFormat="1" ht="14" thickBot="1">
      <c r="B14" s="97" t="s">
        <v>329</v>
      </c>
      <c r="C14" s="78" t="s">
        <v>336</v>
      </c>
      <c r="D14" s="79">
        <v>56</v>
      </c>
      <c r="E14" s="78" t="s">
        <v>341</v>
      </c>
      <c r="F14" s="80" t="s">
        <v>334</v>
      </c>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row>
    <row r="15" spans="2:124" s="81" customFormat="1" ht="14" thickBot="1">
      <c r="B15" s="97" t="s">
        <v>329</v>
      </c>
      <c r="C15" s="98" t="s">
        <v>323</v>
      </c>
      <c r="D15" s="79" t="s">
        <v>343</v>
      </c>
      <c r="E15" s="78" t="s">
        <v>342</v>
      </c>
      <c r="F15" s="80" t="s">
        <v>334</v>
      </c>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row>
    <row r="16" spans="2:124" s="81" customFormat="1" ht="14" thickBot="1">
      <c r="B16" s="97" t="s">
        <v>329</v>
      </c>
      <c r="C16" s="98" t="s">
        <v>323</v>
      </c>
      <c r="D16" s="79" t="s">
        <v>343</v>
      </c>
      <c r="E16" s="78" t="s">
        <v>344</v>
      </c>
      <c r="F16" s="80" t="s">
        <v>334</v>
      </c>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row>
    <row r="17" spans="2:124" s="81" customFormat="1" ht="14" thickBot="1">
      <c r="B17" s="100" t="s">
        <v>329</v>
      </c>
      <c r="C17" s="101" t="s">
        <v>323</v>
      </c>
      <c r="D17" s="102" t="s">
        <v>343</v>
      </c>
      <c r="E17" s="101" t="s">
        <v>345</v>
      </c>
      <c r="F17" s="103" t="s">
        <v>334</v>
      </c>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row>
    <row r="18" spans="2:124" s="81" customFormat="1" ht="14" thickBot="1">
      <c r="B18" s="95" t="s">
        <v>326</v>
      </c>
      <c r="C18" s="78" t="s">
        <v>331</v>
      </c>
      <c r="D18" s="79">
        <v>76</v>
      </c>
      <c r="E18" s="78" t="s">
        <v>332</v>
      </c>
      <c r="F18" s="80" t="s">
        <v>330</v>
      </c>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row>
    <row r="19" spans="2:124" s="81" customFormat="1" ht="14" thickBot="1">
      <c r="B19" s="100" t="s">
        <v>326</v>
      </c>
      <c r="C19" s="101" t="s">
        <v>323</v>
      </c>
      <c r="D19" s="102">
        <v>40</v>
      </c>
      <c r="E19" s="101" t="s">
        <v>333</v>
      </c>
      <c r="F19" s="103" t="s">
        <v>330</v>
      </c>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row>
    <row r="20" spans="2:124" s="81" customFormat="1" ht="14" thickBot="1">
      <c r="B20" s="95" t="s">
        <v>328</v>
      </c>
      <c r="C20" s="78" t="s">
        <v>323</v>
      </c>
      <c r="D20" s="79" t="s">
        <v>346</v>
      </c>
      <c r="E20" s="78" t="s">
        <v>324</v>
      </c>
      <c r="F20" s="80" t="s">
        <v>353</v>
      </c>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row>
    <row r="21" spans="2:124" s="81" customFormat="1" ht="14" thickBot="1">
      <c r="B21" s="100" t="s">
        <v>328</v>
      </c>
      <c r="C21" s="101" t="s">
        <v>336</v>
      </c>
      <c r="D21" s="102" t="s">
        <v>354</v>
      </c>
      <c r="E21" s="101" t="s">
        <v>355</v>
      </c>
      <c r="F21" s="103" t="s">
        <v>353</v>
      </c>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row>
    <row r="22" spans="2:124" s="81" customFormat="1">
      <c r="F22" s="83"/>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row>
    <row r="23" spans="2:124" s="83" customFormat="1">
      <c r="B23" s="84"/>
      <c r="C23" s="62"/>
      <c r="D23" s="84"/>
      <c r="F23" s="81"/>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row>
    <row r="24" spans="2:124" s="83" customFormat="1">
      <c r="B24" s="86" t="s">
        <v>321</v>
      </c>
      <c r="C24" s="62"/>
      <c r="D24" s="84"/>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85"/>
      <c r="CX24" s="85"/>
      <c r="CY24" s="85"/>
      <c r="CZ24" s="85"/>
      <c r="DA24" s="85"/>
      <c r="DB24" s="85"/>
      <c r="DC24" s="85"/>
      <c r="DD24" s="85"/>
      <c r="DE24" s="85"/>
      <c r="DF24" s="85"/>
      <c r="DG24" s="85"/>
      <c r="DH24" s="85"/>
      <c r="DI24" s="85"/>
      <c r="DJ24" s="85"/>
      <c r="DK24" s="85"/>
      <c r="DL24" s="85"/>
      <c r="DM24" s="85"/>
      <c r="DN24" s="85"/>
      <c r="DO24" s="85"/>
      <c r="DP24" s="85"/>
      <c r="DQ24" s="85"/>
      <c r="DR24" s="85"/>
      <c r="DS24" s="85"/>
      <c r="DT24" s="85"/>
    </row>
    <row r="25" spans="2:124" s="83" customFormat="1">
      <c r="B25" s="86" t="s">
        <v>322</v>
      </c>
      <c r="C25" s="87"/>
      <c r="D25" s="88"/>
      <c r="E25" s="89"/>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c r="CY25" s="85"/>
      <c r="CZ25" s="85"/>
      <c r="DA25" s="85"/>
      <c r="DB25" s="85"/>
      <c r="DC25" s="85"/>
      <c r="DD25" s="85"/>
      <c r="DE25" s="85"/>
      <c r="DF25" s="85"/>
      <c r="DG25" s="85"/>
      <c r="DH25" s="85"/>
      <c r="DI25" s="85"/>
      <c r="DJ25" s="85"/>
      <c r="DK25" s="85"/>
      <c r="DL25" s="85"/>
      <c r="DM25" s="85"/>
      <c r="DN25" s="85"/>
      <c r="DO25" s="85"/>
      <c r="DP25" s="85"/>
      <c r="DQ25" s="85"/>
      <c r="DR25" s="85"/>
      <c r="DS25" s="85"/>
      <c r="DT25" s="85"/>
    </row>
    <row r="26" spans="2:124" s="83" customFormat="1">
      <c r="C26" s="87"/>
      <c r="D26" s="88"/>
      <c r="E26" s="89"/>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row>
    <row r="27" spans="2:124">
      <c r="B27" s="90"/>
      <c r="C27" s="91"/>
      <c r="D27" s="90"/>
      <c r="E27" s="92"/>
    </row>
  </sheetData>
  <sheetProtection algorithmName="SHA-512" hashValue="inyJOGY1QDysFDu0Ku3z0b68E/yggfLN/0zXpbF0w922riEfapftkKA6X6R7zScNi/RVLtaUWBIqVqCO2TGjLA==" saltValue="y5bRDtwagH968BN0Ylbr1g==" spinCount="100000" sheet="1" objects="1" scenarios="1"/>
  <pageMargins left="0.39370078740157483" right="0.39370078740157483" top="0.59055118110236227" bottom="0.59055118110236227" header="0.31496062992125984" footer="0.31496062992125984"/>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65"/>
  <sheetViews>
    <sheetView zoomScale="80" zoomScaleNormal="80" zoomScalePageLayoutView="120" workbookViewId="0">
      <pane xSplit="2" ySplit="5" topLeftCell="C36" activePane="bottomRight" state="frozen"/>
      <selection pane="topRight" activeCell="C1" sqref="C1"/>
      <selection pane="bottomLeft" activeCell="A6" sqref="A6"/>
      <selection pane="bottomRight" activeCell="E69" sqref="E69"/>
    </sheetView>
  </sheetViews>
  <sheetFormatPr defaultColWidth="11" defaultRowHeight="15.5"/>
  <cols>
    <col min="1" max="1" width="17" customWidth="1"/>
    <col min="2" max="3" width="38" customWidth="1"/>
    <col min="4" max="4" width="24.08203125" customWidth="1"/>
    <col min="5" max="5" width="27.33203125" customWidth="1"/>
    <col min="6" max="6" width="46.1640625" customWidth="1"/>
  </cols>
  <sheetData>
    <row r="1" spans="1:6" ht="32.15" customHeight="1">
      <c r="A1" s="107" t="s">
        <v>0</v>
      </c>
      <c r="B1" s="108"/>
      <c r="C1" s="108"/>
      <c r="D1" s="108"/>
      <c r="E1" s="108"/>
    </row>
    <row r="2" spans="1:6" ht="82" customHeight="1">
      <c r="A2" s="109" t="s">
        <v>1</v>
      </c>
      <c r="B2" s="109"/>
      <c r="C2" s="109"/>
      <c r="D2" s="109"/>
      <c r="E2" s="109"/>
      <c r="F2" s="1"/>
    </row>
    <row r="3" spans="1:6" ht="68.150000000000006" customHeight="1">
      <c r="A3" s="109" t="s">
        <v>2</v>
      </c>
      <c r="B3" s="109"/>
      <c r="C3" s="109"/>
      <c r="D3" s="109"/>
      <c r="E3" s="109"/>
      <c r="F3" s="1"/>
    </row>
    <row r="5" spans="1:6" ht="31">
      <c r="A5" s="44" t="s">
        <v>3</v>
      </c>
      <c r="B5" s="44" t="s">
        <v>4</v>
      </c>
      <c r="C5" s="45" t="s">
        <v>5</v>
      </c>
      <c r="D5" s="45" t="s">
        <v>6</v>
      </c>
      <c r="E5" s="45" t="s">
        <v>7</v>
      </c>
      <c r="F5" s="46" t="s">
        <v>8</v>
      </c>
    </row>
    <row r="6" spans="1:6" ht="46.5">
      <c r="A6" s="47" t="s">
        <v>9</v>
      </c>
      <c r="B6" s="23" t="s">
        <v>10</v>
      </c>
      <c r="C6" s="9"/>
      <c r="D6" s="22"/>
      <c r="E6" s="22"/>
      <c r="F6" s="22" t="s">
        <v>11</v>
      </c>
    </row>
    <row r="7" spans="1:6">
      <c r="A7" s="24" t="s">
        <v>9</v>
      </c>
      <c r="B7" s="25" t="s">
        <v>12</v>
      </c>
      <c r="C7" s="36"/>
      <c r="D7" s="22" t="s">
        <v>13</v>
      </c>
      <c r="E7" s="22"/>
      <c r="F7" s="22"/>
    </row>
    <row r="8" spans="1:6" ht="93">
      <c r="A8" s="24" t="s">
        <v>9</v>
      </c>
      <c r="B8" s="25" t="s">
        <v>14</v>
      </c>
      <c r="C8" s="36"/>
      <c r="D8" s="22" t="s">
        <v>13</v>
      </c>
      <c r="E8" s="22"/>
      <c r="F8" s="22" t="s">
        <v>15</v>
      </c>
    </row>
    <row r="9" spans="1:6" ht="31">
      <c r="A9" s="24" t="s">
        <v>9</v>
      </c>
      <c r="B9" s="23" t="s">
        <v>16</v>
      </c>
      <c r="C9" s="9"/>
      <c r="D9" s="22" t="s">
        <v>17</v>
      </c>
      <c r="E9" s="22"/>
      <c r="F9" s="22" t="s">
        <v>18</v>
      </c>
    </row>
    <row r="10" spans="1:6" ht="62">
      <c r="A10" s="24" t="s">
        <v>9</v>
      </c>
      <c r="B10" s="23" t="s">
        <v>19</v>
      </c>
      <c r="C10" s="9"/>
      <c r="D10" s="22" t="s">
        <v>17</v>
      </c>
      <c r="E10" s="22"/>
      <c r="F10" s="22" t="s">
        <v>20</v>
      </c>
    </row>
    <row r="11" spans="1:6" ht="46.5">
      <c r="A11" s="35" t="s">
        <v>9</v>
      </c>
      <c r="B11" s="23" t="s">
        <v>21</v>
      </c>
      <c r="C11" s="56"/>
      <c r="D11" s="22" t="s">
        <v>22</v>
      </c>
      <c r="E11" s="22"/>
      <c r="F11" s="22" t="s">
        <v>23</v>
      </c>
    </row>
    <row r="12" spans="1:6">
      <c r="A12" s="26" t="s">
        <v>24</v>
      </c>
      <c r="B12" s="48" t="s">
        <v>25</v>
      </c>
      <c r="C12" s="57"/>
      <c r="D12" s="22" t="s">
        <v>26</v>
      </c>
      <c r="E12" s="22"/>
      <c r="F12" s="22"/>
    </row>
    <row r="13" spans="1:6" ht="139.5">
      <c r="A13" s="28" t="s">
        <v>27</v>
      </c>
      <c r="B13" s="23" t="s">
        <v>28</v>
      </c>
      <c r="C13" s="9" t="s">
        <v>349</v>
      </c>
      <c r="D13" s="22" t="s">
        <v>30</v>
      </c>
      <c r="E13" s="22"/>
      <c r="F13" s="22" t="s">
        <v>31</v>
      </c>
    </row>
    <row r="14" spans="1:6" ht="62">
      <c r="A14" s="32" t="s">
        <v>32</v>
      </c>
      <c r="B14" s="23" t="s">
        <v>33</v>
      </c>
      <c r="C14" s="9" t="s">
        <v>349</v>
      </c>
      <c r="D14" s="22" t="s">
        <v>30</v>
      </c>
      <c r="E14" s="22"/>
      <c r="F14" s="22" t="s">
        <v>34</v>
      </c>
    </row>
    <row r="15" spans="1:6" ht="31">
      <c r="A15" s="32" t="s">
        <v>35</v>
      </c>
      <c r="B15" s="33" t="s">
        <v>36</v>
      </c>
      <c r="C15" s="9"/>
      <c r="D15" s="22" t="s">
        <v>17</v>
      </c>
      <c r="E15" s="22"/>
      <c r="F15" s="22" t="s">
        <v>37</v>
      </c>
    </row>
    <row r="16" spans="1:6" ht="31">
      <c r="A16" s="32" t="s">
        <v>35</v>
      </c>
      <c r="B16" s="33" t="s">
        <v>38</v>
      </c>
      <c r="C16" s="9"/>
      <c r="D16" s="22" t="s">
        <v>17</v>
      </c>
      <c r="E16" s="22"/>
      <c r="F16" s="22" t="s">
        <v>39</v>
      </c>
    </row>
    <row r="17" spans="1:6" ht="108.5">
      <c r="A17" s="32" t="s">
        <v>35</v>
      </c>
      <c r="B17" s="33" t="s">
        <v>40</v>
      </c>
      <c r="C17" s="9"/>
      <c r="D17" s="22" t="s">
        <v>17</v>
      </c>
      <c r="E17" s="22"/>
      <c r="F17" s="22" t="s">
        <v>41</v>
      </c>
    </row>
    <row r="18" spans="1:6">
      <c r="A18" s="32" t="s">
        <v>42</v>
      </c>
      <c r="B18" s="23" t="s">
        <v>43</v>
      </c>
      <c r="C18" s="9" t="s">
        <v>349</v>
      </c>
      <c r="D18" s="22" t="s">
        <v>30</v>
      </c>
      <c r="E18" s="22"/>
      <c r="F18" s="22"/>
    </row>
    <row r="19" spans="1:6">
      <c r="A19" s="32" t="s">
        <v>45</v>
      </c>
      <c r="B19" s="23" t="s">
        <v>46</v>
      </c>
      <c r="C19" s="9" t="s">
        <v>349</v>
      </c>
      <c r="D19" s="22" t="s">
        <v>30</v>
      </c>
      <c r="E19" s="22"/>
      <c r="F19" s="22"/>
    </row>
    <row r="20" spans="1:6" ht="112" customHeight="1">
      <c r="A20" s="32" t="s">
        <v>47</v>
      </c>
      <c r="B20" s="23" t="s">
        <v>48</v>
      </c>
      <c r="C20" s="9" t="s">
        <v>349</v>
      </c>
      <c r="D20" s="22" t="s">
        <v>30</v>
      </c>
      <c r="E20" s="22"/>
      <c r="F20" s="22" t="s">
        <v>49</v>
      </c>
    </row>
    <row r="21" spans="1:6" ht="112" customHeight="1">
      <c r="A21" s="24" t="s">
        <v>50</v>
      </c>
      <c r="B21" s="23" t="s">
        <v>51</v>
      </c>
      <c r="C21" s="9" t="s">
        <v>349</v>
      </c>
      <c r="D21" s="22" t="s">
        <v>30</v>
      </c>
      <c r="E21" s="22"/>
      <c r="F21" s="22" t="s">
        <v>52</v>
      </c>
    </row>
    <row r="22" spans="1:6" ht="139.5">
      <c r="A22" s="27" t="s">
        <v>53</v>
      </c>
      <c r="B22" s="23" t="s">
        <v>54</v>
      </c>
      <c r="C22" s="9" t="s">
        <v>349</v>
      </c>
      <c r="D22" s="22" t="s">
        <v>30</v>
      </c>
      <c r="E22" s="22"/>
      <c r="F22" s="22" t="s">
        <v>55</v>
      </c>
    </row>
    <row r="23" spans="1:6" ht="83.15" customHeight="1">
      <c r="A23" s="24" t="s">
        <v>56</v>
      </c>
      <c r="B23" s="23" t="s">
        <v>57</v>
      </c>
      <c r="C23" s="9" t="s">
        <v>349</v>
      </c>
      <c r="D23" s="22" t="s">
        <v>30</v>
      </c>
      <c r="E23" s="22"/>
      <c r="F23" s="22" t="s">
        <v>58</v>
      </c>
    </row>
    <row r="24" spans="1:6" ht="46.5">
      <c r="A24" s="24" t="s">
        <v>59</v>
      </c>
      <c r="B24" s="23" t="s">
        <v>60</v>
      </c>
      <c r="C24" s="9"/>
      <c r="D24" s="22" t="s">
        <v>22</v>
      </c>
      <c r="E24" s="22"/>
      <c r="F24" s="22" t="s">
        <v>61</v>
      </c>
    </row>
    <row r="25" spans="1:6" ht="46.5">
      <c r="A25" s="28" t="s">
        <v>62</v>
      </c>
      <c r="B25" s="23" t="s">
        <v>63</v>
      </c>
      <c r="C25" s="9" t="s">
        <v>349</v>
      </c>
      <c r="D25" s="22" t="s">
        <v>30</v>
      </c>
      <c r="E25" s="22"/>
      <c r="F25" s="22"/>
    </row>
    <row r="26" spans="1:6" ht="31">
      <c r="A26" s="27" t="s">
        <v>64</v>
      </c>
      <c r="B26" s="23" t="s">
        <v>65</v>
      </c>
      <c r="C26" s="9" t="s">
        <v>349</v>
      </c>
      <c r="D26" s="22" t="s">
        <v>30</v>
      </c>
      <c r="E26" s="22"/>
      <c r="F26" s="22"/>
    </row>
    <row r="27" spans="1:6" ht="132" customHeight="1">
      <c r="A27" s="32" t="s">
        <v>66</v>
      </c>
      <c r="B27" s="34" t="s">
        <v>67</v>
      </c>
      <c r="C27" s="37"/>
      <c r="D27" s="22" t="s">
        <v>68</v>
      </c>
      <c r="E27" s="22"/>
      <c r="F27" s="22" t="s">
        <v>69</v>
      </c>
    </row>
    <row r="28" spans="1:6" ht="111" customHeight="1">
      <c r="A28" s="32" t="s">
        <v>66</v>
      </c>
      <c r="B28" s="34" t="s">
        <v>70</v>
      </c>
      <c r="C28" s="37"/>
      <c r="D28" s="22" t="s">
        <v>68</v>
      </c>
      <c r="E28" s="22"/>
      <c r="F28" s="22" t="s">
        <v>71</v>
      </c>
    </row>
    <row r="29" spans="1:6" ht="31">
      <c r="A29" s="24" t="s">
        <v>72</v>
      </c>
      <c r="B29" s="23" t="s">
        <v>73</v>
      </c>
      <c r="C29" s="9"/>
      <c r="D29" s="22" t="s">
        <v>17</v>
      </c>
      <c r="E29" s="22"/>
      <c r="F29" s="22" t="s">
        <v>74</v>
      </c>
    </row>
    <row r="30" spans="1:6" ht="46.5">
      <c r="A30" s="24" t="s">
        <v>72</v>
      </c>
      <c r="B30" s="23" t="s">
        <v>75</v>
      </c>
      <c r="C30" s="9"/>
      <c r="D30" s="22" t="s">
        <v>17</v>
      </c>
      <c r="E30" s="22"/>
      <c r="F30" s="22" t="s">
        <v>76</v>
      </c>
    </row>
    <row r="31" spans="1:6" ht="62">
      <c r="A31" s="32" t="s">
        <v>77</v>
      </c>
      <c r="B31" s="23" t="s">
        <v>78</v>
      </c>
      <c r="C31" s="9" t="s">
        <v>349</v>
      </c>
      <c r="D31" s="22" t="s">
        <v>30</v>
      </c>
      <c r="E31" s="22"/>
      <c r="F31" s="22" t="s">
        <v>79</v>
      </c>
    </row>
    <row r="32" spans="1:6" ht="31">
      <c r="A32" s="26" t="s">
        <v>80</v>
      </c>
      <c r="B32" s="26" t="s">
        <v>81</v>
      </c>
      <c r="C32" s="57"/>
      <c r="D32" s="22" t="s">
        <v>82</v>
      </c>
      <c r="E32" s="22"/>
      <c r="F32" s="22" t="s">
        <v>83</v>
      </c>
    </row>
    <row r="33" spans="1:6" ht="46.5">
      <c r="A33" s="24" t="s">
        <v>80</v>
      </c>
      <c r="B33" s="23" t="s">
        <v>84</v>
      </c>
      <c r="C33" s="57"/>
      <c r="D33" s="22" t="s">
        <v>85</v>
      </c>
      <c r="E33" s="22"/>
      <c r="F33" s="22" t="s">
        <v>86</v>
      </c>
    </row>
    <row r="34" spans="1:6" ht="31">
      <c r="A34" s="24" t="s">
        <v>80</v>
      </c>
      <c r="B34" s="23" t="s">
        <v>87</v>
      </c>
      <c r="C34" s="57"/>
      <c r="D34" s="22" t="s">
        <v>88</v>
      </c>
      <c r="E34" s="22"/>
      <c r="F34" s="22" t="s">
        <v>89</v>
      </c>
    </row>
    <row r="35" spans="1:6" ht="62">
      <c r="A35" s="29" t="s">
        <v>80</v>
      </c>
      <c r="B35" s="23" t="s">
        <v>90</v>
      </c>
      <c r="C35" s="9"/>
      <c r="D35" s="22" t="s">
        <v>91</v>
      </c>
      <c r="E35" s="22"/>
      <c r="F35" s="22" t="s">
        <v>92</v>
      </c>
    </row>
    <row r="36" spans="1:6" ht="74.150000000000006" customHeight="1">
      <c r="A36" s="29" t="s">
        <v>80</v>
      </c>
      <c r="B36" s="23" t="s">
        <v>93</v>
      </c>
      <c r="C36" s="9"/>
      <c r="D36" s="22" t="s">
        <v>91</v>
      </c>
      <c r="E36" s="22"/>
      <c r="F36" s="22" t="s">
        <v>92</v>
      </c>
    </row>
    <row r="37" spans="1:6" ht="81" customHeight="1">
      <c r="A37" s="29" t="s">
        <v>94</v>
      </c>
      <c r="B37" s="23" t="s">
        <v>95</v>
      </c>
      <c r="C37" s="9" t="s">
        <v>349</v>
      </c>
      <c r="D37" s="22" t="s">
        <v>30</v>
      </c>
      <c r="E37" s="22"/>
      <c r="F37" s="22" t="s">
        <v>96</v>
      </c>
    </row>
    <row r="38" spans="1:6" ht="139.5">
      <c r="A38" s="31" t="s">
        <v>97</v>
      </c>
      <c r="B38" s="23" t="s">
        <v>98</v>
      </c>
      <c r="C38" s="9" t="s">
        <v>349</v>
      </c>
      <c r="D38" s="22" t="s">
        <v>30</v>
      </c>
      <c r="E38" s="22"/>
      <c r="F38" s="22" t="s">
        <v>99</v>
      </c>
    </row>
    <row r="39" spans="1:6" ht="46.5">
      <c r="A39" s="30" t="s">
        <v>100</v>
      </c>
      <c r="B39" s="23" t="s">
        <v>101</v>
      </c>
      <c r="C39" s="57"/>
      <c r="D39" s="22" t="s">
        <v>102</v>
      </c>
      <c r="E39" s="22"/>
      <c r="F39" s="22" t="s">
        <v>103</v>
      </c>
    </row>
    <row r="40" spans="1:6" ht="46.5">
      <c r="A40" s="24" t="s">
        <v>100</v>
      </c>
      <c r="B40" s="23" t="s">
        <v>104</v>
      </c>
      <c r="C40" s="57"/>
      <c r="D40" s="22" t="s">
        <v>105</v>
      </c>
      <c r="E40" s="22"/>
      <c r="F40" s="22" t="s">
        <v>103</v>
      </c>
    </row>
    <row r="41" spans="1:6" ht="62">
      <c r="A41" s="24" t="s">
        <v>100</v>
      </c>
      <c r="B41" s="23" t="s">
        <v>106</v>
      </c>
      <c r="C41" s="9" t="s">
        <v>349</v>
      </c>
      <c r="D41" s="22" t="s">
        <v>30</v>
      </c>
      <c r="E41" s="22"/>
      <c r="F41" s="22" t="s">
        <v>107</v>
      </c>
    </row>
    <row r="42" spans="1:6" ht="62">
      <c r="A42" s="24" t="s">
        <v>100</v>
      </c>
      <c r="B42" s="23" t="s">
        <v>108</v>
      </c>
      <c r="C42" s="57"/>
      <c r="D42" s="22" t="s">
        <v>109</v>
      </c>
      <c r="E42" s="22"/>
      <c r="F42" s="22" t="s">
        <v>107</v>
      </c>
    </row>
    <row r="43" spans="1:6" ht="62">
      <c r="A43" s="24" t="s">
        <v>100</v>
      </c>
      <c r="B43" s="23" t="s">
        <v>110</v>
      </c>
      <c r="C43" s="57"/>
      <c r="D43" s="22" t="s">
        <v>105</v>
      </c>
      <c r="E43" s="22"/>
      <c r="F43" s="22" t="s">
        <v>107</v>
      </c>
    </row>
    <row r="44" spans="1:6" ht="46.5">
      <c r="A44" s="32" t="s">
        <v>111</v>
      </c>
      <c r="B44" s="23" t="s">
        <v>112</v>
      </c>
      <c r="C44" s="58"/>
      <c r="D44" s="22" t="s">
        <v>113</v>
      </c>
      <c r="E44" s="22"/>
      <c r="F44" s="22" t="s">
        <v>114</v>
      </c>
    </row>
    <row r="45" spans="1:6" ht="31">
      <c r="A45" s="31" t="s">
        <v>115</v>
      </c>
      <c r="B45" s="23" t="s">
        <v>116</v>
      </c>
      <c r="C45" s="9" t="s">
        <v>349</v>
      </c>
      <c r="D45" s="22" t="s">
        <v>30</v>
      </c>
      <c r="E45" s="22"/>
      <c r="F45" s="22" t="s">
        <v>117</v>
      </c>
    </row>
    <row r="46" spans="1:6" ht="93">
      <c r="A46" s="24" t="s">
        <v>118</v>
      </c>
      <c r="B46" s="23" t="s">
        <v>119</v>
      </c>
      <c r="C46" s="57"/>
      <c r="D46" s="22" t="s">
        <v>120</v>
      </c>
      <c r="E46" s="22"/>
      <c r="F46" s="22" t="s">
        <v>121</v>
      </c>
    </row>
    <row r="47" spans="1:6" ht="31">
      <c r="A47" s="24" t="s">
        <v>122</v>
      </c>
      <c r="B47" s="23" t="s">
        <v>123</v>
      </c>
      <c r="C47" s="57"/>
      <c r="D47" s="22" t="s">
        <v>82</v>
      </c>
      <c r="E47" s="22"/>
      <c r="F47" s="22" t="s">
        <v>124</v>
      </c>
    </row>
    <row r="48" spans="1:6" ht="31">
      <c r="A48" s="30" t="s">
        <v>125</v>
      </c>
      <c r="B48" s="23" t="s">
        <v>126</v>
      </c>
      <c r="C48" s="9"/>
      <c r="D48" s="22" t="s">
        <v>17</v>
      </c>
      <c r="E48" s="22"/>
      <c r="F48" s="22" t="s">
        <v>127</v>
      </c>
    </row>
    <row r="49" spans="1:6" ht="46.5">
      <c r="A49" s="24" t="s">
        <v>125</v>
      </c>
      <c r="B49" s="23" t="s">
        <v>128</v>
      </c>
      <c r="C49" s="9"/>
      <c r="D49" s="22" t="s">
        <v>17</v>
      </c>
      <c r="E49" s="22"/>
      <c r="F49" s="22" t="s">
        <v>129</v>
      </c>
    </row>
    <row r="50" spans="1:6">
      <c r="A50" s="24" t="s">
        <v>130</v>
      </c>
      <c r="B50" s="23" t="s">
        <v>131</v>
      </c>
      <c r="C50" s="37"/>
      <c r="D50" s="22" t="s">
        <v>22</v>
      </c>
      <c r="E50" s="22"/>
      <c r="F50" s="22" t="s">
        <v>132</v>
      </c>
    </row>
    <row r="51" spans="1:6">
      <c r="A51" s="24" t="s">
        <v>130</v>
      </c>
      <c r="B51" s="23" t="s">
        <v>133</v>
      </c>
      <c r="C51" s="37"/>
      <c r="D51" s="22" t="s">
        <v>22</v>
      </c>
      <c r="E51" s="22"/>
      <c r="F51" s="22" t="s">
        <v>132</v>
      </c>
    </row>
    <row r="52" spans="1:6">
      <c r="A52" s="24" t="s">
        <v>130</v>
      </c>
      <c r="B52" s="23" t="s">
        <v>134</v>
      </c>
      <c r="C52" s="37"/>
      <c r="D52" s="22" t="s">
        <v>22</v>
      </c>
      <c r="E52" s="22"/>
      <c r="F52" s="22" t="s">
        <v>132</v>
      </c>
    </row>
    <row r="53" spans="1:6">
      <c r="A53" s="24" t="s">
        <v>135</v>
      </c>
      <c r="B53" s="23" t="s">
        <v>136</v>
      </c>
      <c r="C53" s="9" t="s">
        <v>349</v>
      </c>
      <c r="D53" s="22" t="s">
        <v>30</v>
      </c>
      <c r="E53" s="22"/>
      <c r="F53" s="22" t="s">
        <v>137</v>
      </c>
    </row>
    <row r="54" spans="1:6" ht="31">
      <c r="A54" s="24" t="s">
        <v>135</v>
      </c>
      <c r="B54" s="23" t="s">
        <v>138</v>
      </c>
      <c r="C54" s="9"/>
      <c r="D54" s="22" t="s">
        <v>22</v>
      </c>
      <c r="E54" s="22"/>
      <c r="F54" s="22" t="s">
        <v>139</v>
      </c>
    </row>
    <row r="55" spans="1:6">
      <c r="A55" s="24" t="s">
        <v>135</v>
      </c>
      <c r="B55" s="23" t="s">
        <v>140</v>
      </c>
      <c r="C55" s="9"/>
      <c r="D55" s="22" t="s">
        <v>22</v>
      </c>
      <c r="E55" s="22"/>
      <c r="F55" s="22" t="s">
        <v>139</v>
      </c>
    </row>
    <row r="56" spans="1:6" ht="103" customHeight="1">
      <c r="A56" s="29" t="s">
        <v>141</v>
      </c>
      <c r="B56" s="23" t="s">
        <v>142</v>
      </c>
      <c r="C56" s="9"/>
      <c r="D56" s="22" t="s">
        <v>17</v>
      </c>
      <c r="E56" s="22"/>
      <c r="F56" s="22" t="s">
        <v>143</v>
      </c>
    </row>
    <row r="57" spans="1:6" ht="31">
      <c r="A57" s="23" t="s">
        <v>144</v>
      </c>
      <c r="B57" s="23" t="s">
        <v>145</v>
      </c>
      <c r="C57" s="9" t="s">
        <v>349</v>
      </c>
      <c r="D57" s="22" t="s">
        <v>30</v>
      </c>
      <c r="E57" s="22"/>
      <c r="F57" s="22" t="s">
        <v>146</v>
      </c>
    </row>
    <row r="58" spans="1:6" ht="31">
      <c r="A58" s="24" t="s">
        <v>147</v>
      </c>
      <c r="B58" s="23" t="s">
        <v>148</v>
      </c>
      <c r="C58" s="9"/>
      <c r="D58" s="22" t="s">
        <v>149</v>
      </c>
      <c r="E58" s="22"/>
      <c r="F58" s="22" t="s">
        <v>150</v>
      </c>
    </row>
    <row r="59" spans="1:6" ht="31">
      <c r="A59" s="24" t="s">
        <v>147</v>
      </c>
      <c r="B59" s="23" t="s">
        <v>151</v>
      </c>
      <c r="C59" s="57"/>
      <c r="D59" s="22" t="s">
        <v>149</v>
      </c>
      <c r="E59" s="22"/>
      <c r="F59" s="22" t="s">
        <v>150</v>
      </c>
    </row>
    <row r="60" spans="1:6" ht="158.15" customHeight="1">
      <c r="A60" s="24" t="s">
        <v>152</v>
      </c>
      <c r="B60" s="23" t="s">
        <v>153</v>
      </c>
      <c r="C60" s="9" t="s">
        <v>349</v>
      </c>
      <c r="D60" s="22" t="s">
        <v>30</v>
      </c>
      <c r="E60" s="22"/>
      <c r="F60" s="22" t="s">
        <v>154</v>
      </c>
    </row>
    <row r="61" spans="1:6" ht="80.150000000000006" customHeight="1">
      <c r="A61" s="24" t="s">
        <v>155</v>
      </c>
      <c r="B61" s="23" t="s">
        <v>156</v>
      </c>
      <c r="C61" s="9"/>
      <c r="D61" s="22" t="s">
        <v>17</v>
      </c>
      <c r="E61" s="22"/>
      <c r="F61" s="22" t="s">
        <v>157</v>
      </c>
    </row>
    <row r="62" spans="1:6" ht="83.15" customHeight="1">
      <c r="A62" s="29" t="s">
        <v>158</v>
      </c>
      <c r="B62" s="23" t="s">
        <v>159</v>
      </c>
      <c r="C62" s="9"/>
      <c r="D62" s="22" t="s">
        <v>17</v>
      </c>
      <c r="E62" s="22"/>
      <c r="F62" s="22" t="s">
        <v>160</v>
      </c>
    </row>
    <row r="63" spans="1:6" ht="102" customHeight="1">
      <c r="A63" s="28" t="s">
        <v>161</v>
      </c>
      <c r="B63" s="23" t="s">
        <v>162</v>
      </c>
      <c r="C63" s="9"/>
      <c r="D63" s="22" t="s">
        <v>17</v>
      </c>
      <c r="E63" s="22"/>
      <c r="F63" s="22" t="s">
        <v>163</v>
      </c>
    </row>
    <row r="64" spans="1:6" ht="31">
      <c r="A64" s="24" t="s">
        <v>164</v>
      </c>
      <c r="B64" s="23" t="s">
        <v>165</v>
      </c>
      <c r="C64" s="9" t="s">
        <v>349</v>
      </c>
      <c r="D64" s="22" t="s">
        <v>30</v>
      </c>
      <c r="E64" s="22"/>
    </row>
    <row r="65" spans="1:6" ht="69" customHeight="1">
      <c r="A65" s="24" t="s">
        <v>166</v>
      </c>
      <c r="B65" s="23" t="s">
        <v>167</v>
      </c>
      <c r="C65" s="9"/>
      <c r="D65" s="22" t="s">
        <v>22</v>
      </c>
      <c r="E65" s="22"/>
      <c r="F65" s="22" t="s">
        <v>168</v>
      </c>
    </row>
  </sheetData>
  <sheetProtection algorithmName="SHA-512" hashValue="3yrGkK1eG4M7QWClhh/esRV6fmMTyq5uJZQvgyIuP0kpxdWkuHbhEm3f7exDqatVFR/xmK9OmqB3U2TAz0barQ==" saltValue="av+sig2uHGqnJKBRmI61Tw==" spinCount="100000" sheet="1" autoFilter="0"/>
  <protectedRanges>
    <protectedRange sqref="A5:F5" name="autofilter"/>
  </protectedRanges>
  <mergeCells count="3">
    <mergeCell ref="A1:E1"/>
    <mergeCell ref="A2:E2"/>
    <mergeCell ref="A3:E3"/>
  </mergeCells>
  <phoneticPr fontId="6" type="noConversion"/>
  <pageMargins left="0.70000000000000007" right="0.70000000000000007" top="0.75000000000000011" bottom="0.75000000000000011" header="0.30000000000000004" footer="0.30000000000000004"/>
  <pageSetup paperSize="9"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4B09F1A4-B9C2-4A2A-8B0B-D1FCE98BDBAC}">
          <x14:formula1>
            <xm:f>Dropdowns!$A$1:$A$3</xm:f>
          </x14:formula1>
          <xm:sqref>C13:C14 C18:C23 C25:C26 C31 C37:C38 C41 C45 C53 C57 C60 C64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9ACC1-30D3-4003-BB81-BBE3AA7C560C}">
  <sheetPr codeName="Sheet5"/>
  <dimension ref="A1:A3"/>
  <sheetViews>
    <sheetView workbookViewId="0">
      <selection activeCell="B6" sqref="B6"/>
    </sheetView>
  </sheetViews>
  <sheetFormatPr defaultRowHeight="15.5"/>
  <sheetData>
    <row r="1" spans="1:1">
      <c r="A1" t="s">
        <v>349</v>
      </c>
    </row>
    <row r="2" spans="1:1">
      <c r="A2" t="s">
        <v>29</v>
      </c>
    </row>
    <row r="3" spans="1:1">
      <c r="A3" t="s">
        <v>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G48"/>
  <sheetViews>
    <sheetView topLeftCell="A31" zoomScale="85" zoomScaleNormal="85" workbookViewId="0">
      <selection activeCell="J9" sqref="J9"/>
    </sheetView>
  </sheetViews>
  <sheetFormatPr defaultColWidth="11" defaultRowHeight="15.5"/>
  <cols>
    <col min="1" max="1" width="18.08203125" customWidth="1"/>
    <col min="2" max="2" width="50" customWidth="1"/>
    <col min="3" max="3" width="31" style="1" customWidth="1"/>
    <col min="4" max="4" width="15.33203125" customWidth="1"/>
    <col min="5" max="5" width="22.1640625" customWidth="1"/>
    <col min="6" max="6" width="21.33203125" style="1" customWidth="1"/>
    <col min="11" max="11" width="11" customWidth="1"/>
  </cols>
  <sheetData>
    <row r="1" spans="1:7">
      <c r="A1" t="s">
        <v>169</v>
      </c>
      <c r="B1" t="s">
        <v>327</v>
      </c>
    </row>
    <row r="2" spans="1:7" ht="70" customHeight="1">
      <c r="A2" s="109" t="s">
        <v>325</v>
      </c>
      <c r="B2" s="109"/>
      <c r="C2" s="109"/>
      <c r="D2" s="109"/>
      <c r="E2" s="109"/>
    </row>
    <row r="4" spans="1:7">
      <c r="B4" s="7" t="s">
        <v>170</v>
      </c>
      <c r="C4" s="7" t="s">
        <v>171</v>
      </c>
      <c r="E4" s="1"/>
      <c r="F4"/>
    </row>
    <row r="5" spans="1:7">
      <c r="B5" s="2" t="s">
        <v>310</v>
      </c>
      <c r="C5" s="3">
        <v>1</v>
      </c>
      <c r="E5" s="1"/>
      <c r="F5"/>
    </row>
    <row r="6" spans="1:7">
      <c r="B6" s="2" t="s">
        <v>347</v>
      </c>
      <c r="C6" s="3">
        <f>(COUNTIF(E14:E48, "Compliant"))/(COUNTIF(E14:E48,"Compliant")+COUNTIF(E14:E48,"not compliant"))</f>
        <v>0.11764705882352941</v>
      </c>
      <c r="E6" s="1"/>
      <c r="F6"/>
    </row>
    <row r="7" spans="1:7">
      <c r="B7" s="2" t="s">
        <v>311</v>
      </c>
      <c r="C7" s="3">
        <v>0.6</v>
      </c>
      <c r="E7" s="1"/>
      <c r="F7"/>
    </row>
    <row r="8" spans="1:7">
      <c r="B8" s="2" t="s">
        <v>348</v>
      </c>
      <c r="C8" s="106">
        <f>(COUNTIF(F14:F48, "Compliant"))/(COUNTIF(F14:F48,"Compliant")+COUNTIF(F14:F48,"not compliant"))</f>
        <v>0.33333333333333331</v>
      </c>
      <c r="E8" s="1"/>
      <c r="F8"/>
    </row>
    <row r="9" spans="1:7" ht="33" customHeight="1">
      <c r="B9" s="105" t="s">
        <v>172</v>
      </c>
      <c r="C9" s="96" t="str">
        <f>IF(C6=100%, "CORE COMPLIANCE MET", "CORE COMPLIANCE NOT MET")</f>
        <v>CORE COMPLIANCE NOT MET</v>
      </c>
      <c r="G9" s="104"/>
    </row>
    <row r="10" spans="1:7" ht="33" customHeight="1">
      <c r="B10" s="53" t="s">
        <v>309</v>
      </c>
      <c r="C10" s="96" t="str">
        <f>IF(C8&gt;=60%, "NON-CORE COMPLIANCE MET", "NON-CORE COMPLIANCE NOT MET")</f>
        <v>NON-CORE COMPLIANCE NOT MET</v>
      </c>
    </row>
    <row r="11" spans="1:7">
      <c r="B11" s="53" t="s">
        <v>173</v>
      </c>
      <c r="C11" s="96" t="str">
        <f>IF(AND(C9="CORE COMPLIANCE MET",C10= "NON-CORE COMPLIANCE MET"), "YES", "NO")</f>
        <v>NO</v>
      </c>
    </row>
    <row r="12" spans="1:7">
      <c r="C12" s="8"/>
      <c r="D12" s="8"/>
    </row>
    <row r="13" spans="1:7">
      <c r="A13" s="10" t="s">
        <v>174</v>
      </c>
      <c r="B13" s="11" t="s">
        <v>175</v>
      </c>
      <c r="C13" s="11" t="s">
        <v>176</v>
      </c>
      <c r="D13" s="10" t="s">
        <v>177</v>
      </c>
      <c r="E13" s="12" t="s">
        <v>178</v>
      </c>
      <c r="F13" s="13" t="s">
        <v>179</v>
      </c>
    </row>
    <row r="14" spans="1:7">
      <c r="A14" s="21" t="s">
        <v>27</v>
      </c>
      <c r="B14" s="14" t="s">
        <v>180</v>
      </c>
      <c r="C14" s="14" t="s">
        <v>29</v>
      </c>
      <c r="D14" s="15" t="str">
        <f>'GROUP INPUT'!C$13</f>
        <v>Select</v>
      </c>
      <c r="E14" s="54" t="str">
        <f>IF(D14="YES","COMPLIANT","NOT COMPLIANT")</f>
        <v>NOT COMPLIANT</v>
      </c>
      <c r="F14" s="54"/>
    </row>
    <row r="15" spans="1:7">
      <c r="A15" s="21" t="s">
        <v>32</v>
      </c>
      <c r="B15" s="14" t="s">
        <v>181</v>
      </c>
      <c r="C15" s="14" t="s">
        <v>29</v>
      </c>
      <c r="D15" s="15" t="str">
        <f>'GROUP INPUT'!C$14</f>
        <v>Select</v>
      </c>
      <c r="E15" s="54" t="str">
        <f>IF(D15="YES","COMPLIANT","NOT COMPLIANT")</f>
        <v>NOT COMPLIANT</v>
      </c>
      <c r="F15" s="54"/>
    </row>
    <row r="16" spans="1:7" ht="62">
      <c r="A16" s="21" t="s">
        <v>35</v>
      </c>
      <c r="B16" s="14" t="s">
        <v>182</v>
      </c>
      <c r="C16" s="14" t="s">
        <v>183</v>
      </c>
      <c r="D16" s="14" t="s">
        <v>184</v>
      </c>
      <c r="E16" s="54" t="str">
        <f>CALCULATIONS!G7</f>
        <v>NOT COMPLIANT</v>
      </c>
      <c r="F16" s="54"/>
    </row>
    <row r="17" spans="1:6">
      <c r="A17" s="21" t="s">
        <v>42</v>
      </c>
      <c r="B17" s="14" t="s">
        <v>185</v>
      </c>
      <c r="C17" s="14" t="s">
        <v>44</v>
      </c>
      <c r="D17" s="15" t="str">
        <f>'GROUP INPUT'!C$18</f>
        <v>Select</v>
      </c>
      <c r="E17" s="54" t="str">
        <f>IF(D17="No","COMPLIANT","NOT COMPLIANT")</f>
        <v>NOT COMPLIANT</v>
      </c>
      <c r="F17" s="54"/>
    </row>
    <row r="18" spans="1:6">
      <c r="A18" s="21" t="s">
        <v>186</v>
      </c>
      <c r="B18" s="14" t="s">
        <v>187</v>
      </c>
      <c r="C18" s="14" t="s">
        <v>44</v>
      </c>
      <c r="D18" s="15" t="str">
        <f>'GROUP INPUT'!C$19</f>
        <v>Select</v>
      </c>
      <c r="E18" s="54" t="str">
        <f>IF(D18="No","COMPLIANT","NOT COMPLIANT")</f>
        <v>NOT COMPLIANT</v>
      </c>
      <c r="F18" s="54"/>
    </row>
    <row r="19" spans="1:6" ht="31">
      <c r="A19" s="21" t="s">
        <v>47</v>
      </c>
      <c r="B19" s="14" t="s">
        <v>188</v>
      </c>
      <c r="C19" s="14" t="s">
        <v>29</v>
      </c>
      <c r="D19" s="15" t="str">
        <f>'GROUP INPUT'!C$20</f>
        <v>Select</v>
      </c>
      <c r="E19" s="54" t="str">
        <f>IF(D19="Yes","COMPLIANT","NOT COMPLIANT")</f>
        <v>NOT COMPLIANT</v>
      </c>
      <c r="F19" s="54"/>
    </row>
    <row r="20" spans="1:6">
      <c r="A20" s="15" t="s">
        <v>50</v>
      </c>
      <c r="B20" s="14" t="s">
        <v>189</v>
      </c>
      <c r="C20" s="14" t="s">
        <v>29</v>
      </c>
      <c r="D20" s="15" t="str">
        <f>'GROUP INPUT'!C21</f>
        <v>Select</v>
      </c>
      <c r="E20" s="54"/>
      <c r="F20" s="54" t="str">
        <f>IF(D20="yes", "COMPLIANT", "NOT COMPLIANT")</f>
        <v>NOT COMPLIANT</v>
      </c>
    </row>
    <row r="21" spans="1:6" ht="31">
      <c r="A21" s="21" t="s">
        <v>190</v>
      </c>
      <c r="B21" s="14" t="s">
        <v>191</v>
      </c>
      <c r="C21" s="14" t="s">
        <v>29</v>
      </c>
      <c r="D21" s="15" t="str">
        <f>'GROUP INPUT'!C$22</f>
        <v>Select</v>
      </c>
      <c r="E21" s="54" t="str">
        <f>IF(D21="Yes","COMPLIANT","NOT COMPLIANT")</f>
        <v>NOT COMPLIANT</v>
      </c>
      <c r="F21" s="54"/>
    </row>
    <row r="22" spans="1:6">
      <c r="A22" s="15" t="s">
        <v>56</v>
      </c>
      <c r="B22" s="14" t="s">
        <v>192</v>
      </c>
      <c r="C22" s="14" t="s">
        <v>29</v>
      </c>
      <c r="D22" s="15" t="str">
        <f>'GROUP INPUT'!C$23</f>
        <v>Select</v>
      </c>
      <c r="E22" s="54"/>
      <c r="F22" s="54" t="str">
        <f>IF(D22="Yes","COMPLIANT","NOT COMPLIANT")</f>
        <v>NOT COMPLIANT</v>
      </c>
    </row>
    <row r="23" spans="1:6" ht="31">
      <c r="A23" s="15" t="s">
        <v>59</v>
      </c>
      <c r="B23" s="14" t="s">
        <v>193</v>
      </c>
      <c r="C23" s="18">
        <v>1</v>
      </c>
      <c r="D23" s="16">
        <f>'GROUP INPUT'!C$24/100</f>
        <v>0</v>
      </c>
      <c r="E23" s="54"/>
      <c r="F23" s="54" t="str">
        <f>IF(D23&gt;0.9, "COMPLIANT", "NOT COMPLIANT")</f>
        <v>NOT COMPLIANT</v>
      </c>
    </row>
    <row r="24" spans="1:6" ht="31">
      <c r="A24" s="21" t="s">
        <v>62</v>
      </c>
      <c r="B24" s="14" t="s">
        <v>194</v>
      </c>
      <c r="C24" s="14" t="s">
        <v>29</v>
      </c>
      <c r="D24" s="15" t="str">
        <f>'GROUP INPUT'!C$25</f>
        <v>Select</v>
      </c>
      <c r="E24" s="54" t="str">
        <f>IF(D24="Yes","COMPLIANT","NOT COMPLIANT")</f>
        <v>NOT COMPLIANT</v>
      </c>
      <c r="F24" s="54"/>
    </row>
    <row r="25" spans="1:6" ht="31">
      <c r="A25" s="21" t="s">
        <v>64</v>
      </c>
      <c r="B25" s="14" t="s">
        <v>195</v>
      </c>
      <c r="C25" s="14" t="s">
        <v>29</v>
      </c>
      <c r="D25" s="15" t="str">
        <f>'GROUP INPUT'!C$26</f>
        <v>Select</v>
      </c>
      <c r="E25" s="54" t="str">
        <f>IF(D25="Yes","COMPLIANT","NOT COMPLIANT")</f>
        <v>NOT COMPLIANT</v>
      </c>
      <c r="F25" s="54"/>
    </row>
    <row r="26" spans="1:6" ht="31">
      <c r="A26" s="21" t="s">
        <v>196</v>
      </c>
      <c r="B26" s="14" t="s">
        <v>197</v>
      </c>
      <c r="C26" s="14" t="s">
        <v>198</v>
      </c>
      <c r="D26" s="17" t="e">
        <f>CALCULATIONS!F$37</f>
        <v>#DIV/0!</v>
      </c>
      <c r="E26" s="54" t="e">
        <f>CALCULATIONS!G37</f>
        <v>#DIV/0!</v>
      </c>
      <c r="F26" s="54"/>
    </row>
    <row r="27" spans="1:6">
      <c r="A27" s="15" t="s">
        <v>72</v>
      </c>
      <c r="B27" s="14" t="s">
        <v>199</v>
      </c>
      <c r="C27" s="14">
        <f>'GROUP INPUT'!C29</f>
        <v>0</v>
      </c>
      <c r="D27" s="14">
        <f>'GROUP INPUT'!C30</f>
        <v>0</v>
      </c>
      <c r="E27" s="54"/>
      <c r="F27" s="54" t="str">
        <f>IF('GROUP RESULTS'!$D27&lt;='GROUP RESULTS'!$C27, "COMPLIANT", "NOT COMPLIANT")</f>
        <v>COMPLIANT</v>
      </c>
    </row>
    <row r="28" spans="1:6">
      <c r="A28" s="21" t="s">
        <v>200</v>
      </c>
      <c r="B28" s="14" t="s">
        <v>201</v>
      </c>
      <c r="C28" s="14" t="s">
        <v>29</v>
      </c>
      <c r="D28" s="15" t="str">
        <f>'GROUP INPUT'!C31</f>
        <v>Select</v>
      </c>
      <c r="E28" s="54" t="str">
        <f>IF(D28="Yes","COMPLIANT","NOT COMPLIANT")</f>
        <v>NOT COMPLIANT</v>
      </c>
      <c r="F28" s="54"/>
    </row>
    <row r="29" spans="1:6" ht="31">
      <c r="A29" s="15" t="s">
        <v>80</v>
      </c>
      <c r="B29" s="14" t="s">
        <v>202</v>
      </c>
      <c r="C29" s="14" t="s">
        <v>203</v>
      </c>
      <c r="D29" s="14" t="s">
        <v>184</v>
      </c>
      <c r="E29" s="54"/>
      <c r="F29" s="54" t="str">
        <f>CALCULATIONS!F43</f>
        <v>COMPLIANT</v>
      </c>
    </row>
    <row r="30" spans="1:6" ht="62">
      <c r="A30" s="21" t="s">
        <v>94</v>
      </c>
      <c r="B30" s="14" t="s">
        <v>204</v>
      </c>
      <c r="C30" s="18">
        <v>0</v>
      </c>
      <c r="D30" s="15" t="str">
        <f>'GROUP INPUT'!C37</f>
        <v>Select</v>
      </c>
      <c r="E30" s="54" t="str">
        <f>IF(D30="No","COMPLIANT","NOT COMPLIANT")</f>
        <v>NOT COMPLIANT</v>
      </c>
      <c r="F30" s="54"/>
    </row>
    <row r="31" spans="1:6" ht="46.5">
      <c r="A31" s="21" t="s">
        <v>97</v>
      </c>
      <c r="B31" s="14" t="s">
        <v>205</v>
      </c>
      <c r="C31" s="14" t="s">
        <v>29</v>
      </c>
      <c r="D31" s="15" t="str">
        <f>'GROUP INPUT'!C38</f>
        <v>Select</v>
      </c>
      <c r="E31" s="54" t="str">
        <f>IF(D31="Yes","COMPLIANT","NOT COMPLIANT")</f>
        <v>NOT COMPLIANT</v>
      </c>
      <c r="F31" s="54"/>
    </row>
    <row r="32" spans="1:6" ht="46.5">
      <c r="A32" s="15" t="s">
        <v>100</v>
      </c>
      <c r="B32" s="14" t="s">
        <v>206</v>
      </c>
      <c r="C32" s="14" t="s">
        <v>207</v>
      </c>
      <c r="D32" s="14" t="s">
        <v>184</v>
      </c>
      <c r="E32" s="54"/>
      <c r="F32" s="54" t="e">
        <f>CALCULATIONS!G68</f>
        <v>#DIV/0!</v>
      </c>
    </row>
    <row r="33" spans="1:6" ht="31">
      <c r="A33" s="21" t="s">
        <v>111</v>
      </c>
      <c r="B33" s="14" t="s">
        <v>208</v>
      </c>
      <c r="C33" s="14" t="s">
        <v>209</v>
      </c>
      <c r="D33" s="15">
        <f>'GROUP INPUT'!C44</f>
        <v>0</v>
      </c>
      <c r="E33" s="54" t="str">
        <f>IF('GROUP RESULTS'!$D33&lt;5, "COMPLIANT", "NOT COMPLIANT")</f>
        <v>COMPLIANT</v>
      </c>
      <c r="F33" s="54"/>
    </row>
    <row r="34" spans="1:6">
      <c r="A34" s="21" t="s">
        <v>210</v>
      </c>
      <c r="B34" s="14" t="s">
        <v>211</v>
      </c>
      <c r="C34" s="14" t="s">
        <v>44</v>
      </c>
      <c r="D34" s="15" t="str">
        <f>IF('GROUP INPUT'!C45="", "", 'GROUP INPUT'!C45)</f>
        <v>Select</v>
      </c>
      <c r="E34" s="54" t="str">
        <f xml:space="preserve"> IF(D34="Yes", "NOT COMPLIANT", "COMPLIANT")</f>
        <v>COMPLIANT</v>
      </c>
      <c r="F34" s="54"/>
    </row>
    <row r="35" spans="1:6" ht="33" customHeight="1">
      <c r="A35" s="15" t="s">
        <v>118</v>
      </c>
      <c r="B35" s="14" t="s">
        <v>212</v>
      </c>
      <c r="C35" s="14" t="s">
        <v>213</v>
      </c>
      <c r="D35" s="15" t="e">
        <f>CALCULATIONS!D57</f>
        <v>#DIV/0!</v>
      </c>
      <c r="E35" s="54"/>
      <c r="F35" s="54" t="e">
        <f>CALCULATIONS!G53</f>
        <v>#DIV/0!</v>
      </c>
    </row>
    <row r="36" spans="1:6">
      <c r="A36" s="15" t="s">
        <v>122</v>
      </c>
      <c r="B36" s="14" t="s">
        <v>214</v>
      </c>
      <c r="C36" s="14" t="s">
        <v>215</v>
      </c>
      <c r="D36" s="51" t="e">
        <f>'GROUP INPUT'!C47/'GROUP INPUT'!C32</f>
        <v>#DIV/0!</v>
      </c>
      <c r="E36" s="54"/>
      <c r="F36" s="54" t="e">
        <f>IF(D36&gt;30%, "COMPLIANT", "NOT COMPLIANT")</f>
        <v>#DIV/0!</v>
      </c>
    </row>
    <row r="37" spans="1:6" ht="31">
      <c r="A37" s="15" t="s">
        <v>125</v>
      </c>
      <c r="B37" s="14" t="s">
        <v>216</v>
      </c>
      <c r="C37" s="14" t="s">
        <v>217</v>
      </c>
      <c r="D37" s="52" t="str">
        <f>CALCULATIONS!D78</f>
        <v/>
      </c>
      <c r="E37" s="54"/>
      <c r="F37" s="54" t="str">
        <f>CALCULATIONS!G76</f>
        <v>COMPLIANT</v>
      </c>
    </row>
    <row r="38" spans="1:6">
      <c r="A38" s="15" t="s">
        <v>130</v>
      </c>
      <c r="B38" s="14" t="s">
        <v>218</v>
      </c>
      <c r="C38" s="18" t="s">
        <v>219</v>
      </c>
      <c r="D38" s="19" t="e">
        <f>CALCULATIONS!F61</f>
        <v>#DIV/0!</v>
      </c>
      <c r="E38" s="54"/>
      <c r="F38" s="54" t="e">
        <f>CALCULATIONS!G61</f>
        <v>#DIV/0!</v>
      </c>
    </row>
    <row r="39" spans="1:6" ht="31">
      <c r="A39" s="6" t="s">
        <v>135</v>
      </c>
      <c r="B39" s="2" t="s">
        <v>220</v>
      </c>
      <c r="C39" s="18" t="s">
        <v>221</v>
      </c>
      <c r="D39" s="55">
        <f>CALCULATIONS!D85</f>
        <v>0</v>
      </c>
      <c r="E39" s="54"/>
      <c r="F39" s="54" t="str">
        <f>CALCULATIONS!G81</f>
        <v>NOT COMPLIANT</v>
      </c>
    </row>
    <row r="40" spans="1:6" ht="31">
      <c r="A40" s="15" t="s">
        <v>166</v>
      </c>
      <c r="B40" s="14" t="s">
        <v>167</v>
      </c>
      <c r="C40" s="18">
        <v>1</v>
      </c>
      <c r="D40" s="19" t="str">
        <f>IF('GROUP INPUT'!C65="","",'GROUP INPUT'!C65/100)</f>
        <v/>
      </c>
      <c r="E40" s="54" t="str">
        <f>IF('GROUP INPUT'!C65="","",IF(D40=1,"COMPLIANT","NOT COMPLIANT"))</f>
        <v/>
      </c>
      <c r="F40" s="54"/>
    </row>
    <row r="41" spans="1:6" ht="46.5">
      <c r="A41" s="15" t="s">
        <v>144</v>
      </c>
      <c r="B41" s="14" t="s">
        <v>222</v>
      </c>
      <c r="C41" s="14" t="s">
        <v>29</v>
      </c>
      <c r="D41" s="15" t="str">
        <f>'GROUP INPUT'!C57</f>
        <v>Select</v>
      </c>
      <c r="E41" s="54"/>
      <c r="F41" s="54" t="str">
        <f>IF(D41="Yes","COMPLIANT","NOT COMPLIANT")</f>
        <v>NOT COMPLIANT</v>
      </c>
    </row>
    <row r="42" spans="1:6">
      <c r="A42" s="15" t="s">
        <v>147</v>
      </c>
      <c r="B42" s="14" t="s">
        <v>223</v>
      </c>
      <c r="C42" s="14" t="s">
        <v>224</v>
      </c>
      <c r="D42" s="60">
        <f>('GROUP INPUT'!C58-'GROUP INPUT'!C59)</f>
        <v>0</v>
      </c>
      <c r="E42" s="54"/>
      <c r="F42" s="54" t="str">
        <f>IF(D42&gt;0, "COMPLIANT", "NOT COMPLIANT")</f>
        <v>NOT COMPLIANT</v>
      </c>
    </row>
    <row r="43" spans="1:6">
      <c r="A43" s="21" t="s">
        <v>152</v>
      </c>
      <c r="B43" s="14" t="s">
        <v>225</v>
      </c>
      <c r="C43" s="14" t="s">
        <v>226</v>
      </c>
      <c r="D43" s="53" t="str">
        <f>'GROUP INPUT'!C60</f>
        <v>Select</v>
      </c>
      <c r="E43" s="54" t="str">
        <f>IF(D43="Yes", "COMPLIANT", "NOT COMPLIANT")</f>
        <v>NOT COMPLIANT</v>
      </c>
      <c r="F43" s="54"/>
    </row>
    <row r="44" spans="1:6" ht="31">
      <c r="A44" s="21" t="s">
        <v>227</v>
      </c>
      <c r="B44" s="14" t="s">
        <v>228</v>
      </c>
      <c r="C44" s="18" t="s">
        <v>229</v>
      </c>
      <c r="D44" s="51" t="e">
        <f>CALCULATIONS!F$24</f>
        <v>#DIV/0!</v>
      </c>
      <c r="E44" s="54" t="e">
        <f>CALCULATIONS!G24</f>
        <v>#DIV/0!</v>
      </c>
      <c r="F44" s="54"/>
    </row>
    <row r="45" spans="1:6" ht="31">
      <c r="A45" s="15" t="s">
        <v>158</v>
      </c>
      <c r="B45" s="14" t="s">
        <v>230</v>
      </c>
      <c r="C45" s="18" t="s">
        <v>229</v>
      </c>
      <c r="D45" s="51" t="e">
        <f>CALCULATIONS!F14</f>
        <v>#DIV/0!</v>
      </c>
      <c r="E45" s="54"/>
      <c r="F45" s="54" t="e">
        <f>CALCULATIONS!G14</f>
        <v>#DIV/0!</v>
      </c>
    </row>
    <row r="46" spans="1:6" ht="31">
      <c r="A46" s="15" t="s">
        <v>141</v>
      </c>
      <c r="B46" s="14" t="s">
        <v>231</v>
      </c>
      <c r="C46" s="14" t="s">
        <v>232</v>
      </c>
      <c r="D46" s="15" t="e">
        <f>CALCULATIONS!E34</f>
        <v>#DIV/0!</v>
      </c>
      <c r="E46" s="54"/>
      <c r="F46" s="54" t="e">
        <f>CALCULATIONS!G33</f>
        <v>#DIV/0!</v>
      </c>
    </row>
    <row r="47" spans="1:6">
      <c r="A47" s="43" t="s">
        <v>161</v>
      </c>
      <c r="B47" s="2" t="s">
        <v>233</v>
      </c>
      <c r="C47" s="2" t="s">
        <v>29</v>
      </c>
      <c r="D47" s="53">
        <f>'GROUP INPUT'!C63</f>
        <v>0</v>
      </c>
      <c r="E47" s="54" t="str">
        <f>IF('GROUP RESULTS'!$D47&gt;0, "COMPLIANT", "NOT COMPLIANT")</f>
        <v>NOT COMPLIANT</v>
      </c>
      <c r="F47" s="54"/>
    </row>
    <row r="48" spans="1:6">
      <c r="A48" s="43" t="s">
        <v>164</v>
      </c>
      <c r="B48" s="2" t="s">
        <v>234</v>
      </c>
      <c r="C48" s="2" t="s">
        <v>29</v>
      </c>
      <c r="D48" s="59" t="str">
        <f>'GROUP INPUT'!C64</f>
        <v>Select</v>
      </c>
      <c r="E48" s="54" t="str">
        <f>IF('GROUP RESULTS'!$D48="YES", "COMPLIANT", "NOT COMPLIANT")</f>
        <v>NOT COMPLIANT</v>
      </c>
      <c r="F48" s="54"/>
    </row>
  </sheetData>
  <sheetProtection algorithmName="SHA-512" hashValue="1bK7IiISO3P0lGlnTNSFSlP5FW5YaVTjri6ILLJfNiV9MWtjn2bU0wu9GZlQH3BFfiT/udaPl6TF4sdJzGP6/w==" saltValue="THgVBvudfkyA9EZ4fcBm6g==" spinCount="100000" sheet="1" objects="1" scenarios="1"/>
  <mergeCells count="1">
    <mergeCell ref="A2:E2"/>
  </mergeCells>
  <conditionalFormatting sqref="B9:C9">
    <cfRule type="cellIs" dxfId="9" priority="5" operator="equal">
      <formula>"CORE COMPLIANCE NOT MET"</formula>
    </cfRule>
  </conditionalFormatting>
  <conditionalFormatting sqref="C6">
    <cfRule type="cellIs" dxfId="8" priority="3" operator="lessThan">
      <formula>100</formula>
    </cfRule>
    <cfRule type="cellIs" dxfId="7" priority="4" operator="equal">
      <formula>100</formula>
    </cfRule>
  </conditionalFormatting>
  <conditionalFormatting sqref="C8">
    <cfRule type="cellIs" dxfId="6" priority="1" operator="lessThan">
      <formula>60</formula>
    </cfRule>
    <cfRule type="cellIs" dxfId="5" priority="2" operator="greaterThanOrEqual">
      <formula>60</formula>
    </cfRule>
  </conditionalFormatting>
  <conditionalFormatting sqref="C10">
    <cfRule type="cellIs" dxfId="4" priority="8" operator="equal">
      <formula>"NON-CORE COMPLIANCE NOT MET"</formula>
    </cfRule>
  </conditionalFormatting>
  <conditionalFormatting sqref="C11">
    <cfRule type="cellIs" dxfId="3" priority="6" operator="equal">
      <formula>"NO"</formula>
    </cfRule>
  </conditionalFormatting>
  <conditionalFormatting sqref="E28">
    <cfRule type="cellIs" dxfId="2" priority="10" operator="equal">
      <formula>"NOT COMPLIANT"</formula>
    </cfRule>
  </conditionalFormatting>
  <conditionalFormatting sqref="E14:F48">
    <cfRule type="cellIs" dxfId="1" priority="9" operator="equal">
      <formula>"NOT COMPLIANT"</formula>
    </cfRule>
  </conditionalFormatting>
  <conditionalFormatting sqref="F29">
    <cfRule type="cellIs" dxfId="0" priority="11" operator="equal">
      <formula>"NOT COMPLIANT"</formula>
    </cfRule>
  </conditionalFormatting>
  <pageMargins left="0.7" right="0.7" top="0.75" bottom="0.75" header="0.3" footer="0.3"/>
  <pageSetup paperSize="9"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86"/>
  <sheetViews>
    <sheetView tabSelected="1" zoomScale="85" zoomScaleNormal="85" workbookViewId="0">
      <selection activeCell="K10" sqref="K10"/>
    </sheetView>
  </sheetViews>
  <sheetFormatPr defaultColWidth="11" defaultRowHeight="15.5"/>
  <cols>
    <col min="2" max="2" width="20.08203125" customWidth="1"/>
    <col min="3" max="3" width="35.83203125" customWidth="1"/>
    <col min="4" max="4" width="14.5" customWidth="1"/>
    <col min="5" max="5" width="35.08203125" customWidth="1"/>
    <col min="6" max="6" width="20.5" customWidth="1"/>
    <col min="7" max="7" width="17.08203125" customWidth="1"/>
  </cols>
  <sheetData>
    <row r="1" spans="1:7">
      <c r="A1" t="s">
        <v>235</v>
      </c>
    </row>
    <row r="2" spans="1:7" ht="70" customHeight="1">
      <c r="A2" s="109" t="s">
        <v>236</v>
      </c>
      <c r="B2" s="109"/>
      <c r="C2" s="109"/>
      <c r="D2" s="109"/>
      <c r="E2" s="109"/>
    </row>
    <row r="4" spans="1:7">
      <c r="A4" s="113" t="s">
        <v>175</v>
      </c>
      <c r="B4" s="113"/>
      <c r="C4" s="4" t="s">
        <v>237</v>
      </c>
      <c r="D4" s="114" t="s">
        <v>238</v>
      </c>
      <c r="E4" s="115"/>
      <c r="F4" s="5" t="s">
        <v>239</v>
      </c>
      <c r="G4" s="5" t="s">
        <v>240</v>
      </c>
    </row>
    <row r="7" spans="1:7" ht="64" customHeight="1">
      <c r="A7" s="110" t="s">
        <v>35</v>
      </c>
      <c r="B7" s="110" t="s">
        <v>182</v>
      </c>
      <c r="C7" s="2" t="s">
        <v>241</v>
      </c>
      <c r="D7" s="2">
        <v>18</v>
      </c>
      <c r="E7" s="2" t="s">
        <v>242</v>
      </c>
      <c r="F7" s="2" t="str">
        <f>IF(D8&gt;=D7,"COMPLIANT","NOT COMPLIANT")</f>
        <v>NOT COMPLIANT</v>
      </c>
      <c r="G7" s="2" t="str">
        <f>IF(OR(F9="Not Compliant", F7="Not Compliant"), "NOT COMPLIANT", "COMPLIANT")</f>
        <v>NOT COMPLIANT</v>
      </c>
    </row>
    <row r="8" spans="1:7">
      <c r="A8" s="111"/>
      <c r="B8" s="111"/>
      <c r="C8" s="2" t="s">
        <v>243</v>
      </c>
      <c r="D8" s="2">
        <f>'GROUP INPUT'!C16</f>
        <v>0</v>
      </c>
      <c r="E8" s="2"/>
      <c r="F8" s="2"/>
      <c r="G8" s="2"/>
    </row>
    <row r="9" spans="1:7" ht="31">
      <c r="A9" s="111"/>
      <c r="B9" s="111"/>
      <c r="C9" s="2" t="s">
        <v>244</v>
      </c>
      <c r="D9" s="2">
        <f>'GROUP INPUT'!C17</f>
        <v>0</v>
      </c>
      <c r="E9" s="2" t="s">
        <v>245</v>
      </c>
      <c r="F9" s="2" t="str">
        <f>IF(D10&gt;=D9,"COMPLIANT","NOT COMPLIANT")</f>
        <v>COMPLIANT</v>
      </c>
      <c r="G9" s="2"/>
    </row>
    <row r="10" spans="1:7">
      <c r="A10" s="112"/>
      <c r="B10" s="112"/>
      <c r="C10" s="2" t="s">
        <v>246</v>
      </c>
      <c r="D10" s="2">
        <f>'GROUP INPUT'!C15</f>
        <v>0</v>
      </c>
      <c r="E10" s="2"/>
      <c r="F10" s="2"/>
      <c r="G10" s="2"/>
    </row>
    <row r="11" spans="1:7">
      <c r="A11" s="1"/>
      <c r="B11" s="1"/>
      <c r="C11" s="1"/>
      <c r="D11" s="1"/>
      <c r="E11" s="1"/>
      <c r="F11" s="1"/>
      <c r="G11" s="1"/>
    </row>
    <row r="12" spans="1:7">
      <c r="A12" s="1"/>
      <c r="B12" s="1"/>
      <c r="C12" s="1"/>
      <c r="D12" s="1"/>
      <c r="E12" s="1"/>
      <c r="F12" s="1"/>
      <c r="G12" s="1"/>
    </row>
    <row r="13" spans="1:7" ht="48" customHeight="1">
      <c r="A13" s="110" t="s">
        <v>158</v>
      </c>
      <c r="B13" s="110" t="s">
        <v>247</v>
      </c>
      <c r="C13" s="2" t="s">
        <v>248</v>
      </c>
      <c r="D13" s="2">
        <f>'GROUP INPUT'!C10</f>
        <v>0</v>
      </c>
      <c r="E13" s="2" t="s">
        <v>249</v>
      </c>
      <c r="F13" s="2"/>
      <c r="G13" s="2"/>
    </row>
    <row r="14" spans="1:7">
      <c r="A14" s="111"/>
      <c r="B14" s="111"/>
      <c r="C14" s="2" t="s">
        <v>250</v>
      </c>
      <c r="D14" s="2">
        <f>'GROUP INPUT'!C62</f>
        <v>0</v>
      </c>
      <c r="E14" s="38" t="e">
        <f>D14/D15</f>
        <v>#DIV/0!</v>
      </c>
      <c r="F14" s="38" t="e">
        <f>E14/E21</f>
        <v>#DIV/0!</v>
      </c>
      <c r="G14" s="2" t="e">
        <f>IF(E14&gt;E21, "COMPLIANT", "NOT COMPLIANT")</f>
        <v>#DIV/0!</v>
      </c>
    </row>
    <row r="15" spans="1:7">
      <c r="A15" s="111"/>
      <c r="B15" s="111"/>
      <c r="C15" s="2" t="s">
        <v>251</v>
      </c>
      <c r="D15" s="2">
        <f>'GROUP INPUT'!C9</f>
        <v>0</v>
      </c>
      <c r="E15" s="2" t="s">
        <v>252</v>
      </c>
      <c r="F15" s="2"/>
      <c r="G15" s="2"/>
    </row>
    <row r="16" spans="1:7">
      <c r="A16" s="111"/>
      <c r="B16" s="111"/>
      <c r="C16" s="2" t="s">
        <v>253</v>
      </c>
      <c r="D16" s="39">
        <v>0.2</v>
      </c>
      <c r="E16" s="2">
        <f>IF(D13=1, D16, 0)</f>
        <v>0</v>
      </c>
      <c r="F16" s="2"/>
      <c r="G16" s="2"/>
    </row>
    <row r="17" spans="1:7">
      <c r="A17" s="111"/>
      <c r="B17" s="111"/>
      <c r="C17" s="2" t="s">
        <v>254</v>
      </c>
      <c r="D17" s="39">
        <v>0.4</v>
      </c>
      <c r="E17" s="2">
        <f>IF(D13=2, D17, 0)</f>
        <v>0</v>
      </c>
      <c r="F17" s="2"/>
      <c r="G17" s="2"/>
    </row>
    <row r="18" spans="1:7">
      <c r="A18" s="111"/>
      <c r="B18" s="111"/>
      <c r="C18" s="2" t="s">
        <v>255</v>
      </c>
      <c r="D18" s="39">
        <v>0.6</v>
      </c>
      <c r="E18" s="2">
        <f>IF(D13=3, D18, 0)</f>
        <v>0</v>
      </c>
      <c r="F18" s="2"/>
      <c r="G18" s="2"/>
    </row>
    <row r="19" spans="1:7">
      <c r="A19" s="111"/>
      <c r="B19" s="111"/>
      <c r="C19" s="2" t="s">
        <v>256</v>
      </c>
      <c r="D19" s="39">
        <v>0.8</v>
      </c>
      <c r="E19" s="2">
        <f>IF(D13=4, D19, 0)</f>
        <v>0</v>
      </c>
      <c r="F19" s="2"/>
      <c r="G19" s="2"/>
    </row>
    <row r="20" spans="1:7">
      <c r="A20" s="111"/>
      <c r="B20" s="111"/>
      <c r="C20" s="2" t="s">
        <v>257</v>
      </c>
      <c r="D20" s="39">
        <v>1</v>
      </c>
      <c r="E20" s="2">
        <f>IF(D13=5, D20, 0)</f>
        <v>0</v>
      </c>
      <c r="F20" s="2"/>
      <c r="G20" s="2"/>
    </row>
    <row r="21" spans="1:7" ht="46.5">
      <c r="A21" s="112"/>
      <c r="B21" s="112"/>
      <c r="C21" s="2"/>
      <c r="D21" s="2" t="s">
        <v>258</v>
      </c>
      <c r="E21" s="2">
        <f>SUM(E16:E20)</f>
        <v>0</v>
      </c>
      <c r="F21" s="2"/>
      <c r="G21" s="2"/>
    </row>
    <row r="22" spans="1:7">
      <c r="A22" s="8"/>
      <c r="B22" s="8"/>
      <c r="C22" s="1"/>
      <c r="D22" s="1"/>
      <c r="E22" s="1"/>
      <c r="F22" s="1"/>
      <c r="G22" s="1"/>
    </row>
    <row r="23" spans="1:7">
      <c r="A23" s="110" t="s">
        <v>155</v>
      </c>
      <c r="B23" s="110" t="s">
        <v>259</v>
      </c>
      <c r="C23" s="2" t="s">
        <v>248</v>
      </c>
      <c r="D23" s="2">
        <f>'GROUP INPUT'!C10</f>
        <v>0</v>
      </c>
      <c r="E23" s="2" t="s">
        <v>260</v>
      </c>
      <c r="F23" s="2"/>
      <c r="G23" s="2"/>
    </row>
    <row r="24" spans="1:7">
      <c r="A24" s="111"/>
      <c r="B24" s="111"/>
      <c r="C24" s="2" t="s">
        <v>261</v>
      </c>
      <c r="D24" s="2">
        <f>'GROUP INPUT'!C61</f>
        <v>0</v>
      </c>
      <c r="E24" s="38" t="e">
        <f>D24/D25</f>
        <v>#DIV/0!</v>
      </c>
      <c r="F24" s="38" t="e">
        <f>E24/E31</f>
        <v>#DIV/0!</v>
      </c>
      <c r="G24" s="2" t="e">
        <f>IF(E24&gt;E31, "COMPLIANT", "NOT COMPLIANT")</f>
        <v>#DIV/0!</v>
      </c>
    </row>
    <row r="25" spans="1:7">
      <c r="A25" s="111"/>
      <c r="B25" s="111"/>
      <c r="C25" s="2" t="s">
        <v>251</v>
      </c>
      <c r="D25" s="2">
        <f>'GROUP INPUT'!C$9</f>
        <v>0</v>
      </c>
      <c r="E25" s="2" t="s">
        <v>262</v>
      </c>
      <c r="F25" s="2"/>
      <c r="G25" s="2"/>
    </row>
    <row r="26" spans="1:7">
      <c r="A26" s="111"/>
      <c r="B26" s="111"/>
      <c r="C26" s="2" t="s">
        <v>263</v>
      </c>
      <c r="D26" s="39">
        <v>0.2</v>
      </c>
      <c r="E26" s="2">
        <f>IF(D23=1, D26, 0)</f>
        <v>0</v>
      </c>
      <c r="F26" s="2"/>
      <c r="G26" s="2"/>
    </row>
    <row r="27" spans="1:7">
      <c r="A27" s="111"/>
      <c r="B27" s="111"/>
      <c r="C27" s="2" t="s">
        <v>264</v>
      </c>
      <c r="D27" s="39">
        <v>0.4</v>
      </c>
      <c r="E27" s="2">
        <f>IF(D23=2, D27, 0)</f>
        <v>0</v>
      </c>
      <c r="F27" s="2"/>
      <c r="G27" s="2"/>
    </row>
    <row r="28" spans="1:7">
      <c r="A28" s="111"/>
      <c r="B28" s="111"/>
      <c r="C28" s="2" t="s">
        <v>265</v>
      </c>
      <c r="D28" s="39">
        <v>0.6</v>
      </c>
      <c r="E28" s="2">
        <f>IF(D23=3, D28, 0)</f>
        <v>0</v>
      </c>
      <c r="F28" s="2"/>
      <c r="G28" s="2"/>
    </row>
    <row r="29" spans="1:7">
      <c r="A29" s="111"/>
      <c r="B29" s="111"/>
      <c r="C29" s="2" t="s">
        <v>266</v>
      </c>
      <c r="D29" s="39">
        <v>0.8</v>
      </c>
      <c r="E29" s="2">
        <f>IF(D23=4, D29, 0)</f>
        <v>0</v>
      </c>
      <c r="F29" s="2"/>
      <c r="G29" s="2"/>
    </row>
    <row r="30" spans="1:7">
      <c r="A30" s="111"/>
      <c r="B30" s="111"/>
      <c r="C30" s="2" t="s">
        <v>267</v>
      </c>
      <c r="D30" s="39">
        <v>1</v>
      </c>
      <c r="E30" s="2">
        <f>IF(D23=5, D30, 0)</f>
        <v>0</v>
      </c>
      <c r="F30" s="2"/>
      <c r="G30" s="2"/>
    </row>
    <row r="31" spans="1:7" ht="31">
      <c r="A31" s="112"/>
      <c r="B31" s="112"/>
      <c r="C31" s="2"/>
      <c r="D31" s="2" t="s">
        <v>268</v>
      </c>
      <c r="E31" s="2">
        <f>SUM(E26:E30)</f>
        <v>0</v>
      </c>
      <c r="F31" s="2"/>
      <c r="G31" s="2"/>
    </row>
    <row r="32" spans="1:7">
      <c r="A32" s="1"/>
      <c r="B32" s="1"/>
      <c r="C32" s="1"/>
      <c r="D32" s="1"/>
      <c r="E32" s="1"/>
      <c r="F32" s="1"/>
      <c r="G32" s="1"/>
    </row>
    <row r="33" spans="1:7" ht="31">
      <c r="A33" s="110" t="s">
        <v>141</v>
      </c>
      <c r="B33" s="2" t="s">
        <v>269</v>
      </c>
      <c r="C33" s="2" t="s">
        <v>270</v>
      </c>
      <c r="D33" s="2">
        <f>'GROUP INPUT'!C56</f>
        <v>0</v>
      </c>
      <c r="E33" s="2" t="s">
        <v>271</v>
      </c>
      <c r="F33" s="2"/>
      <c r="G33" s="2" t="e">
        <f>IF(E34&lt;500, "COMPLIANT", "NOT COMPLIANT")</f>
        <v>#DIV/0!</v>
      </c>
    </row>
    <row r="34" spans="1:7">
      <c r="A34" s="112"/>
      <c r="B34" s="2"/>
      <c r="C34" s="2" t="s">
        <v>272</v>
      </c>
      <c r="D34" s="2">
        <f>'GROUP INPUT'!C$9</f>
        <v>0</v>
      </c>
      <c r="E34" s="2" t="e">
        <f>D34/D33</f>
        <v>#DIV/0!</v>
      </c>
      <c r="F34" s="2"/>
      <c r="G34" s="2"/>
    </row>
    <row r="35" spans="1:7">
      <c r="A35" s="1"/>
      <c r="B35" s="1"/>
      <c r="C35" s="1"/>
      <c r="D35" s="1"/>
      <c r="E35" s="1"/>
      <c r="F35" s="1"/>
      <c r="G35" s="1"/>
    </row>
    <row r="36" spans="1:7">
      <c r="A36" s="1"/>
      <c r="B36" s="1"/>
      <c r="C36" s="1"/>
      <c r="D36" s="1"/>
      <c r="E36" s="1"/>
      <c r="F36" s="1"/>
      <c r="G36" s="1"/>
    </row>
    <row r="37" spans="1:7" ht="77.5">
      <c r="A37" s="110" t="s">
        <v>66</v>
      </c>
      <c r="B37" s="2" t="s">
        <v>197</v>
      </c>
      <c r="C37" s="2" t="s">
        <v>273</v>
      </c>
      <c r="D37" s="40">
        <f>'GROUP INPUT'!C27</f>
        <v>0</v>
      </c>
      <c r="E37" s="2" t="s">
        <v>274</v>
      </c>
      <c r="F37" s="40" t="e">
        <f>D37/D38</f>
        <v>#DIV/0!</v>
      </c>
      <c r="G37" s="2" t="e">
        <f>IF(F37&gt;=1,"COMPLIANT", "NOT COMPLIANT")</f>
        <v>#DIV/0!</v>
      </c>
    </row>
    <row r="38" spans="1:7">
      <c r="A38" s="112"/>
      <c r="B38" s="2"/>
      <c r="C38" s="2" t="s">
        <v>275</v>
      </c>
      <c r="D38" s="40">
        <f>'GROUP INPUT'!C28</f>
        <v>0</v>
      </c>
      <c r="E38" s="2"/>
      <c r="F38" s="2"/>
      <c r="G38" s="2"/>
    </row>
    <row r="39" spans="1:7">
      <c r="A39" s="1"/>
      <c r="B39" s="1"/>
      <c r="C39" s="1"/>
      <c r="D39" s="1"/>
      <c r="E39" s="1"/>
      <c r="F39" s="1"/>
      <c r="G39" s="1"/>
    </row>
    <row r="40" spans="1:7">
      <c r="A40" s="1"/>
      <c r="B40" s="1"/>
      <c r="C40" s="1"/>
      <c r="D40" s="1"/>
      <c r="E40" s="1"/>
      <c r="F40" s="1"/>
      <c r="G40" s="1"/>
    </row>
    <row r="41" spans="1:7">
      <c r="A41" s="117" t="s">
        <v>80</v>
      </c>
      <c r="B41" s="116" t="s">
        <v>202</v>
      </c>
      <c r="C41" s="2" t="s">
        <v>276</v>
      </c>
      <c r="D41" s="2">
        <f>'GROUP INPUT'!C33</f>
        <v>0</v>
      </c>
      <c r="E41" s="2" t="s">
        <v>277</v>
      </c>
      <c r="F41" s="2" t="str">
        <f>IF(D46="","",IF(D46&gt;=D49, "COMPLIANT", "NOT COMPLIANT"))</f>
        <v/>
      </c>
      <c r="G41" s="2"/>
    </row>
    <row r="42" spans="1:7">
      <c r="A42" s="117"/>
      <c r="B42" s="116"/>
      <c r="C42" s="2" t="s">
        <v>278</v>
      </c>
      <c r="D42" s="2">
        <f>'GROUP INPUT'!C12</f>
        <v>0</v>
      </c>
      <c r="E42" s="2" t="s">
        <v>279</v>
      </c>
      <c r="F42" s="2" t="str">
        <f>IF(D47="","",IF(D47&gt;=D50,"COMPLIANT","NOT COMPLIANT"))</f>
        <v/>
      </c>
      <c r="G42" s="2"/>
    </row>
    <row r="43" spans="1:7">
      <c r="A43" s="117"/>
      <c r="B43" s="116"/>
      <c r="C43" s="2" t="s">
        <v>280</v>
      </c>
      <c r="D43" s="2">
        <f>'GROUP INPUT'!C32</f>
        <v>0</v>
      </c>
      <c r="E43" s="2" t="s">
        <v>281</v>
      </c>
      <c r="F43" s="2" t="str">
        <f>IF(OR(F41="NOT COMPLIANT", F42="NOT COMPLIANT"), "NOT COMPLIANT", "COMPLIANT")</f>
        <v>COMPLIANT</v>
      </c>
      <c r="G43" s="2"/>
    </row>
    <row r="44" spans="1:7">
      <c r="A44" s="117"/>
      <c r="B44" s="116"/>
      <c r="C44" s="2" t="s">
        <v>282</v>
      </c>
      <c r="D44" s="2">
        <f>'GROUP INPUT'!C34*'GROUP INPUT'!C33</f>
        <v>0</v>
      </c>
      <c r="E44" s="2"/>
      <c r="F44" s="2"/>
      <c r="G44" s="2"/>
    </row>
    <row r="45" spans="1:7">
      <c r="A45" s="117"/>
      <c r="B45" s="116"/>
      <c r="C45" s="2" t="s">
        <v>283</v>
      </c>
      <c r="D45" s="2">
        <f>D42-D44</f>
        <v>0</v>
      </c>
      <c r="E45" s="2"/>
      <c r="F45" s="2"/>
      <c r="G45" s="2"/>
    </row>
    <row r="46" spans="1:7">
      <c r="A46" s="117"/>
      <c r="B46" s="116"/>
      <c r="C46" s="2" t="s">
        <v>277</v>
      </c>
      <c r="D46" s="40" t="str">
        <f>IFERROR(D44/D41,"")</f>
        <v/>
      </c>
      <c r="E46" s="2"/>
      <c r="F46" s="2"/>
      <c r="G46" s="2"/>
    </row>
    <row r="47" spans="1:7">
      <c r="A47" s="117"/>
      <c r="B47" s="116"/>
      <c r="C47" s="2" t="s">
        <v>279</v>
      </c>
      <c r="D47" s="40" t="str">
        <f>IFERROR(D45/(D43-D41),"")</f>
        <v/>
      </c>
      <c r="E47" s="2"/>
      <c r="F47" s="2"/>
      <c r="G47" s="2"/>
    </row>
    <row r="48" spans="1:7">
      <c r="A48" s="117"/>
      <c r="B48" s="116"/>
      <c r="C48" s="2"/>
      <c r="D48" s="2"/>
      <c r="E48" s="2"/>
      <c r="F48" s="2"/>
      <c r="G48" s="2"/>
    </row>
    <row r="49" spans="1:7" ht="31">
      <c r="A49" s="117"/>
      <c r="B49" s="116"/>
      <c r="C49" s="2" t="s">
        <v>284</v>
      </c>
      <c r="D49" s="2">
        <f>'GROUP INPUT'!C35</f>
        <v>0</v>
      </c>
      <c r="E49" s="2"/>
      <c r="F49" s="2"/>
      <c r="G49" s="2"/>
    </row>
    <row r="50" spans="1:7" ht="31">
      <c r="A50" s="117"/>
      <c r="B50" s="116"/>
      <c r="C50" s="2" t="s">
        <v>285</v>
      </c>
      <c r="D50" s="2">
        <f>'GROUP INPUT'!C36</f>
        <v>0</v>
      </c>
      <c r="E50" s="2"/>
      <c r="F50" s="2"/>
      <c r="G50" s="2"/>
    </row>
    <row r="51" spans="1:7">
      <c r="A51" s="20"/>
      <c r="B51" s="20"/>
      <c r="C51" s="1"/>
      <c r="D51" s="1"/>
      <c r="E51" s="1"/>
      <c r="F51" s="1"/>
      <c r="G51" s="1"/>
    </row>
    <row r="52" spans="1:7">
      <c r="A52" s="1"/>
      <c r="B52" s="1"/>
      <c r="C52" s="1"/>
      <c r="D52" s="1"/>
      <c r="E52" s="1"/>
      <c r="F52" s="1"/>
      <c r="G52" s="1"/>
    </row>
    <row r="53" spans="1:7" ht="31">
      <c r="A53" s="110" t="s">
        <v>118</v>
      </c>
      <c r="B53" s="2" t="s">
        <v>212</v>
      </c>
      <c r="C53" s="2" t="s">
        <v>286</v>
      </c>
      <c r="D53" s="2">
        <f>'GROUP INPUT'!C33</f>
        <v>0</v>
      </c>
      <c r="E53" s="2"/>
      <c r="F53" s="2"/>
      <c r="G53" s="2" t="e">
        <f>IF(D57&gt;D58, "COMPLIANT", "NOT COMPLIANT")</f>
        <v>#DIV/0!</v>
      </c>
    </row>
    <row r="54" spans="1:7">
      <c r="A54" s="111"/>
      <c r="B54" s="2"/>
      <c r="C54" s="2" t="s">
        <v>287</v>
      </c>
      <c r="D54" s="2">
        <f>D44</f>
        <v>0</v>
      </c>
      <c r="E54" s="2"/>
      <c r="F54" s="2"/>
      <c r="G54" s="2"/>
    </row>
    <row r="55" spans="1:7">
      <c r="A55" s="111"/>
      <c r="B55" s="2"/>
      <c r="C55" s="2" t="s">
        <v>288</v>
      </c>
      <c r="D55" s="2">
        <f>'GROUP INPUT'!C46</f>
        <v>0</v>
      </c>
      <c r="E55" s="2"/>
      <c r="F55" s="2"/>
      <c r="G55" s="2"/>
    </row>
    <row r="56" spans="1:7">
      <c r="A56" s="111"/>
      <c r="B56" s="2"/>
      <c r="C56" s="2" t="s">
        <v>289</v>
      </c>
      <c r="D56" s="2">
        <f>D55*D53</f>
        <v>0</v>
      </c>
      <c r="E56" s="2"/>
      <c r="F56" s="2"/>
      <c r="G56" s="2"/>
    </row>
    <row r="57" spans="1:7">
      <c r="A57" s="111"/>
      <c r="B57" s="2"/>
      <c r="C57" s="2" t="s">
        <v>290</v>
      </c>
      <c r="D57" s="2" t="e">
        <f>((D54/D53)*1000/((D56/D53)/10))</f>
        <v>#DIV/0!</v>
      </c>
      <c r="E57" s="2"/>
      <c r="F57" s="2"/>
      <c r="G57" s="2"/>
    </row>
    <row r="58" spans="1:7" ht="31">
      <c r="A58" s="112"/>
      <c r="B58" s="2"/>
      <c r="C58" s="2" t="s">
        <v>291</v>
      </c>
      <c r="D58" s="2">
        <v>90</v>
      </c>
      <c r="E58" s="2"/>
      <c r="F58" s="2"/>
      <c r="G58" s="2"/>
    </row>
    <row r="59" spans="1:7">
      <c r="A59" s="1"/>
      <c r="B59" s="1"/>
      <c r="C59" s="1"/>
      <c r="D59" s="1"/>
      <c r="E59" s="1"/>
      <c r="F59" s="1"/>
      <c r="G59" s="1"/>
    </row>
    <row r="60" spans="1:7">
      <c r="A60" s="1"/>
      <c r="B60" s="1"/>
      <c r="C60" s="1"/>
      <c r="D60" s="1"/>
      <c r="E60" s="1"/>
      <c r="F60" s="1"/>
      <c r="G60" s="1"/>
    </row>
    <row r="61" spans="1:7" ht="46.5">
      <c r="A61" s="110" t="s">
        <v>130</v>
      </c>
      <c r="B61" s="2" t="s">
        <v>218</v>
      </c>
      <c r="C61" s="2" t="s">
        <v>131</v>
      </c>
      <c r="D61" s="2">
        <f>'GROUP INPUT'!C50</f>
        <v>0</v>
      </c>
      <c r="E61" s="2" t="s">
        <v>22</v>
      </c>
      <c r="F61" s="38" t="e">
        <f>D65/100</f>
        <v>#DIV/0!</v>
      </c>
      <c r="G61" s="2" t="e">
        <f>IF(D65&gt;10, "COMPLIANT", "NOT COMPLIANT")</f>
        <v>#DIV/0!</v>
      </c>
    </row>
    <row r="62" spans="1:7">
      <c r="A62" s="111"/>
      <c r="B62" s="2"/>
      <c r="C62" s="2" t="s">
        <v>133</v>
      </c>
      <c r="D62" s="2">
        <f>'GROUP INPUT'!C51</f>
        <v>0</v>
      </c>
      <c r="E62" s="2" t="s">
        <v>22</v>
      </c>
      <c r="F62" s="2" t="s">
        <v>292</v>
      </c>
      <c r="G62" s="2"/>
    </row>
    <row r="63" spans="1:7">
      <c r="A63" s="111"/>
      <c r="B63" s="2"/>
      <c r="C63" s="2" t="s">
        <v>293</v>
      </c>
      <c r="D63" s="41" t="e">
        <f>(0.98)*(100-20*D61/(100-D61))*(1.5-50/D62)</f>
        <v>#DIV/0!</v>
      </c>
      <c r="E63" s="2" t="s">
        <v>22</v>
      </c>
      <c r="F63" s="2"/>
      <c r="G63" s="2"/>
    </row>
    <row r="64" spans="1:7">
      <c r="A64" s="111"/>
      <c r="B64" s="2"/>
      <c r="C64" s="2" t="s">
        <v>134</v>
      </c>
      <c r="D64" s="2">
        <f>'GROUP INPUT'!C52</f>
        <v>0</v>
      </c>
      <c r="E64" s="2" t="s">
        <v>22</v>
      </c>
      <c r="F64" s="2"/>
      <c r="G64" s="2"/>
    </row>
    <row r="65" spans="1:7" ht="31">
      <c r="A65" s="112"/>
      <c r="B65" s="2"/>
      <c r="C65" s="2" t="s">
        <v>218</v>
      </c>
      <c r="D65" s="42" t="e">
        <f>D63*D64/100</f>
        <v>#DIV/0!</v>
      </c>
      <c r="E65" s="2" t="s">
        <v>22</v>
      </c>
      <c r="F65" s="2"/>
      <c r="G65" s="2"/>
    </row>
    <row r="66" spans="1:7">
      <c r="A66" s="1"/>
      <c r="B66" s="1"/>
      <c r="C66" s="1"/>
      <c r="D66" s="1"/>
      <c r="E66" s="1"/>
      <c r="F66" s="1"/>
      <c r="G66" s="1"/>
    </row>
    <row r="67" spans="1:7">
      <c r="A67" s="1"/>
      <c r="B67" s="1"/>
      <c r="C67" s="1"/>
      <c r="D67" s="1"/>
      <c r="E67" s="1"/>
      <c r="F67" s="1"/>
      <c r="G67" s="1"/>
    </row>
    <row r="68" spans="1:7" ht="124">
      <c r="A68" s="110" t="s">
        <v>100</v>
      </c>
      <c r="B68" s="2" t="s">
        <v>206</v>
      </c>
      <c r="C68" s="2" t="s">
        <v>294</v>
      </c>
      <c r="D68" s="40">
        <f>'GROUP INPUT'!C39</f>
        <v>0</v>
      </c>
      <c r="E68" s="2" t="s">
        <v>295</v>
      </c>
      <c r="F68" s="38" t="e">
        <f>((D70*0.42)+(D73*3.06))/((D68*0.42)+(D72*3.06))</f>
        <v>#DIV/0!</v>
      </c>
      <c r="G68" s="2" t="e">
        <f>IF(F69="NO", "COMPLIANT", "NOT COMPLIANT")</f>
        <v>#DIV/0!</v>
      </c>
    </row>
    <row r="69" spans="1:7" ht="46.5">
      <c r="A69" s="111"/>
      <c r="B69" s="2"/>
      <c r="C69" s="2" t="s">
        <v>296</v>
      </c>
      <c r="D69" s="40">
        <f>'GROUP INPUT'!C40</f>
        <v>0</v>
      </c>
      <c r="E69" s="2" t="s">
        <v>297</v>
      </c>
      <c r="F69" s="41" t="e">
        <f>IF(F68&lt;1.05, "No", "Yes")</f>
        <v>#DIV/0!</v>
      </c>
      <c r="G69" s="2"/>
    </row>
    <row r="70" spans="1:7">
      <c r="A70" s="111"/>
      <c r="B70" s="2"/>
      <c r="C70" s="2" t="s">
        <v>298</v>
      </c>
      <c r="D70" s="40">
        <f>'GROUP INPUT'!C42</f>
        <v>0</v>
      </c>
      <c r="E70" s="2"/>
      <c r="F70" s="2"/>
      <c r="G70" s="2"/>
    </row>
    <row r="71" spans="1:7" ht="31">
      <c r="A71" s="111"/>
      <c r="B71" s="2"/>
      <c r="C71" s="2" t="s">
        <v>299</v>
      </c>
      <c r="D71" s="40">
        <f>'GROUP INPUT'!C43</f>
        <v>0</v>
      </c>
      <c r="E71" s="2"/>
      <c r="F71" s="2"/>
      <c r="G71" s="2"/>
    </row>
    <row r="72" spans="1:7">
      <c r="A72" s="111"/>
      <c r="B72" s="2"/>
      <c r="C72" s="2" t="s">
        <v>300</v>
      </c>
      <c r="D72" s="2">
        <f>D69*0.436</f>
        <v>0</v>
      </c>
      <c r="E72" s="2"/>
      <c r="F72" s="2"/>
      <c r="G72" s="2"/>
    </row>
    <row r="73" spans="1:7">
      <c r="A73" s="112"/>
      <c r="B73" s="2"/>
      <c r="C73" s="2" t="s">
        <v>301</v>
      </c>
      <c r="D73" s="2">
        <f>D71*0.436</f>
        <v>0</v>
      </c>
      <c r="E73" s="2"/>
      <c r="F73" s="2"/>
      <c r="G73" s="2"/>
    </row>
    <row r="74" spans="1:7">
      <c r="A74" s="1"/>
      <c r="B74" s="1"/>
      <c r="C74" s="1"/>
      <c r="D74" s="1"/>
      <c r="E74" s="1"/>
      <c r="F74" s="1"/>
      <c r="G74" s="1"/>
    </row>
    <row r="75" spans="1:7">
      <c r="A75" s="1"/>
      <c r="B75" s="1"/>
      <c r="C75" s="1"/>
      <c r="D75" s="1"/>
      <c r="E75" s="1"/>
      <c r="F75" s="1"/>
      <c r="G75" s="1"/>
    </row>
    <row r="76" spans="1:7" ht="77.5">
      <c r="A76" s="110" t="s">
        <v>125</v>
      </c>
      <c r="B76" s="2" t="s">
        <v>216</v>
      </c>
      <c r="C76" s="2" t="s">
        <v>302</v>
      </c>
      <c r="D76" s="2">
        <f>'GROUP INPUT'!C48</f>
        <v>0</v>
      </c>
      <c r="E76" s="2" t="s">
        <v>303</v>
      </c>
      <c r="F76" s="39">
        <v>0.8</v>
      </c>
      <c r="G76" s="2" t="str">
        <f>IF(F76&lt;=D78, "COMPLIANT", "NOT COMPLIANT")</f>
        <v>COMPLIANT</v>
      </c>
    </row>
    <row r="77" spans="1:7">
      <c r="A77" s="111"/>
      <c r="B77" s="2"/>
      <c r="C77" s="2" t="s">
        <v>304</v>
      </c>
      <c r="D77" s="2">
        <f>'GROUP INPUT'!C49</f>
        <v>0</v>
      </c>
      <c r="E77" s="2"/>
      <c r="F77" s="2"/>
      <c r="G77" s="2"/>
    </row>
    <row r="78" spans="1:7">
      <c r="A78" s="112"/>
      <c r="B78" s="2"/>
      <c r="C78" s="2" t="s">
        <v>305</v>
      </c>
      <c r="D78" s="38" t="str">
        <f>IFERROR(D77/D76, "")</f>
        <v/>
      </c>
      <c r="E78" s="2"/>
      <c r="F78" s="2"/>
      <c r="G78" s="2"/>
    </row>
    <row r="81" spans="1:7" ht="62">
      <c r="A81" s="6" t="s">
        <v>135</v>
      </c>
      <c r="B81" s="2" t="s">
        <v>220</v>
      </c>
      <c r="C81" s="2" t="s">
        <v>306</v>
      </c>
      <c r="D81" s="6">
        <f>'GROUP INPUT'!C$54</f>
        <v>0</v>
      </c>
      <c r="E81" s="6" t="s">
        <v>307</v>
      </c>
      <c r="F81" s="6">
        <v>120</v>
      </c>
      <c r="G81" s="6" t="str">
        <f>IF(D86="No","",IF(D85&gt;120, "COMPLIANT", "NOT COMPLIANT"))</f>
        <v>NOT COMPLIANT</v>
      </c>
    </row>
    <row r="82" spans="1:7">
      <c r="A82" s="6"/>
      <c r="B82" s="6"/>
      <c r="C82" s="2" t="s">
        <v>134</v>
      </c>
      <c r="D82" s="6">
        <f>'GROUP INPUT'!C$52</f>
        <v>0</v>
      </c>
      <c r="E82" s="6"/>
      <c r="F82" s="6" t="s">
        <v>308</v>
      </c>
      <c r="G82" s="6"/>
    </row>
    <row r="83" spans="1:7">
      <c r="A83" s="6"/>
      <c r="B83" s="6"/>
      <c r="C83" s="2" t="s">
        <v>140</v>
      </c>
      <c r="D83" s="6">
        <f>'GROUP INPUT'!C$55</f>
        <v>0</v>
      </c>
      <c r="E83" s="23"/>
      <c r="F83" s="6"/>
      <c r="G83" s="6"/>
    </row>
    <row r="84" spans="1:7" ht="31">
      <c r="A84" s="6"/>
      <c r="B84" s="6"/>
      <c r="C84" s="2" t="s">
        <v>138</v>
      </c>
      <c r="D84" s="6">
        <f>IF(D81=0,D82/0.95+D83/100*D82,D81)</f>
        <v>0</v>
      </c>
      <c r="E84" s="49"/>
      <c r="F84" s="6"/>
      <c r="G84" s="6"/>
    </row>
    <row r="85" spans="1:7" ht="31">
      <c r="A85" s="6"/>
      <c r="B85" s="6"/>
      <c r="C85" s="2" t="s">
        <v>220</v>
      </c>
      <c r="D85" s="6">
        <f>D84*0.905*10</f>
        <v>0</v>
      </c>
      <c r="E85" s="6"/>
      <c r="F85" s="6"/>
      <c r="G85" s="6"/>
    </row>
    <row r="86" spans="1:7">
      <c r="A86" s="6"/>
      <c r="B86" s="6"/>
      <c r="C86" s="50" t="s">
        <v>136</v>
      </c>
      <c r="D86" s="6" t="str">
        <f>'GROUP INPUT'!C$53</f>
        <v>Select</v>
      </c>
      <c r="E86" s="6"/>
      <c r="F86" s="6"/>
      <c r="G86" s="6"/>
    </row>
  </sheetData>
  <sheetProtection algorithmName="SHA-512" hashValue="C1k2bJ4J5HbpYrRM+I3Tq5Zc5Gw+Z9slayhFP/Iyoou73oNe5ZlzN8nc98tdyMFc8Nx7AHJ+HU+NNP+CvLXEdw==" saltValue="4ruotgwPtUK3WsEbtLXwBw==" spinCount="100000" sheet="1" objects="1" scenarios="1"/>
  <mergeCells count="17">
    <mergeCell ref="A23:A31"/>
    <mergeCell ref="B23:B31"/>
    <mergeCell ref="A2:E2"/>
    <mergeCell ref="A53:A58"/>
    <mergeCell ref="A76:A78"/>
    <mergeCell ref="A33:A34"/>
    <mergeCell ref="A37:A38"/>
    <mergeCell ref="A4:B4"/>
    <mergeCell ref="D4:E4"/>
    <mergeCell ref="A7:A10"/>
    <mergeCell ref="B7:B10"/>
    <mergeCell ref="A13:A21"/>
    <mergeCell ref="B13:B21"/>
    <mergeCell ref="A61:A65"/>
    <mergeCell ref="A68:A73"/>
    <mergeCell ref="B41:B50"/>
    <mergeCell ref="A41:A5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54FF6F6BFE1F4DB95ED8775B48CA91" ma:contentTypeVersion="42" ma:contentTypeDescription="Create a new document." ma:contentTypeScope="" ma:versionID="7d2f23060d4cb32db3230b3ff9802a12">
  <xsd:schema xmlns:xsd="http://www.w3.org/2001/XMLSchema" xmlns:xs="http://www.w3.org/2001/XMLSchema" xmlns:p="http://schemas.microsoft.com/office/2006/metadata/properties" xmlns:ns2="7b02d9b3-0750-4193-90ea-e2fce0096684" xmlns:ns3="fe0daf43-258d-42ef-b5ee-58830eb703bc" targetNamespace="http://schemas.microsoft.com/office/2006/metadata/properties" ma:root="true" ma:fieldsID="f0f46662a20eb25e8c253ff36842e9e1" ns2:_="" ns3:_="">
    <xsd:import namespace="7b02d9b3-0750-4193-90ea-e2fce0096684"/>
    <xsd:import namespace="fe0daf43-258d-42ef-b5ee-58830eb703b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3:_dlc_DocId" minOccurs="0"/>
                <xsd:element ref="ns3:_dlc_DocIdUrl" minOccurs="0"/>
                <xsd:element ref="ns3:_dlc_DocIdPersistId"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02d9b3-0750-4193-90ea-e2fce00966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69c46228-acdf-4af8-8b84-c73aa49a30a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Status" ma:index="28" nillable="true" ma:displayName="Status" ma:format="Dropdown" ma:internalName="Status">
      <xsd:simpleType>
        <xsd:restriction base="dms:Choice">
          <xsd:enumeration value="Approved"/>
          <xsd:enumeration value="In Progress"/>
          <xsd:enumeration value="Declined"/>
        </xsd:restriction>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0daf43-258d-42ef-b5ee-58830eb703b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TaxCatchAll" ma:index="26" nillable="true" ma:displayName="Taxonomy Catch All Column" ma:hidden="true" ma:list="{e7e5dc98-6704-471e-adf7-4c7a01dcfc9c}" ma:internalName="TaxCatchAll" ma:showField="CatchAllData" ma:web="fe0daf43-258d-42ef-b5ee-58830eb703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fe0daf43-258d-42ef-b5ee-58830eb703bc">ED6AZ73W7JUT-2102554853-3450164</_dlc_DocId>
    <_dlc_DocIdUrl xmlns="fe0daf43-258d-42ef-b5ee-58830eb703bc">
      <Url>https://bonsucro.sharepoint.com/_layouts/15/DocIdRedir.aspx?ID=ED6AZ73W7JUT-2102554853-3450164</Url>
      <Description>ED6AZ73W7JUT-2102554853-3450164</Description>
    </_dlc_DocIdUrl>
    <TaxCatchAll xmlns="fe0daf43-258d-42ef-b5ee-58830eb703bc" xsi:nil="true"/>
    <lcf76f155ced4ddcb4097134ff3c332f xmlns="7b02d9b3-0750-4193-90ea-e2fce0096684">
      <Terms xmlns="http://schemas.microsoft.com/office/infopath/2007/PartnerControls"/>
    </lcf76f155ced4ddcb4097134ff3c332f>
    <Status xmlns="7b02d9b3-0750-4193-90ea-e2fce009668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14C353D-3571-4EE0-A951-09D6F7B769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02d9b3-0750-4193-90ea-e2fce0096684"/>
    <ds:schemaRef ds:uri="fe0daf43-258d-42ef-b5ee-58830eb703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4EC307-1673-441D-9A1E-035AA82187C0}">
  <ds:schemaRefs>
    <ds:schemaRef ds:uri="http://schemas.openxmlformats.org/package/2006/metadata/core-properties"/>
    <ds:schemaRef ds:uri="fe0daf43-258d-42ef-b5ee-58830eb703bc"/>
    <ds:schemaRef ds:uri="http://purl.org/dc/elements/1.1/"/>
    <ds:schemaRef ds:uri="http://schemas.microsoft.com/office/infopath/2007/PartnerControls"/>
    <ds:schemaRef ds:uri="http://www.w3.org/XML/1998/namespace"/>
    <ds:schemaRef ds:uri="http://schemas.microsoft.com/office/2006/metadata/properties"/>
    <ds:schemaRef ds:uri="http://schemas.microsoft.com/office/2006/documentManagement/types"/>
    <ds:schemaRef ds:uri="7b02d9b3-0750-4193-90ea-e2fce0096684"/>
    <ds:schemaRef ds:uri="http://purl.org/dc/dcmitype/"/>
    <ds:schemaRef ds:uri="http://purl.org/dc/terms/"/>
  </ds:schemaRefs>
</ds:datastoreItem>
</file>

<file path=customXml/itemProps3.xml><?xml version="1.0" encoding="utf-8"?>
<ds:datastoreItem xmlns:ds="http://schemas.openxmlformats.org/officeDocument/2006/customXml" ds:itemID="{2F9A5581-D792-4D59-A056-1569874A12FD}">
  <ds:schemaRefs>
    <ds:schemaRef ds:uri="http://schemas.microsoft.com/sharepoint/v3/contenttype/forms"/>
  </ds:schemaRefs>
</ds:datastoreItem>
</file>

<file path=customXml/itemProps4.xml><?xml version="1.0" encoding="utf-8"?>
<ds:datastoreItem xmlns:ds="http://schemas.openxmlformats.org/officeDocument/2006/customXml" ds:itemID="{EE70BA76-B0DE-48EA-8EC1-0D7EEC5D42D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Changes</vt:lpstr>
      <vt:lpstr>GROUP INPUT</vt:lpstr>
      <vt:lpstr>Dropdowns</vt:lpstr>
      <vt:lpstr>GROUP RESULTS</vt:lpstr>
      <vt:lpstr>CALCULATIONS</vt:lpstr>
      <vt:lpstr>Changes!Print_Area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Sonia Slavinski</dc:creator>
  <cp:keywords/>
  <dc:description/>
  <cp:lastModifiedBy>Nisha MS</cp:lastModifiedBy>
  <cp:revision/>
  <dcterms:created xsi:type="dcterms:W3CDTF">2017-09-20T10:58:25Z</dcterms:created>
  <dcterms:modified xsi:type="dcterms:W3CDTF">2024-05-22T12:55:01Z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0x0101000954FF6F6BFE1F4DB95ED8775B48CA91</vt:lpwstr>
  </property>
  <property fmtid="{D5CDD505-2E9C-101B-9397-08002B2CF9AE}" pid="3" name="_dlc_DocIdItemGuid">
    <vt:lpwstr>2d63139d-6e11-444a-941b-5d0b27db66d0</vt:lpwstr>
  </property>
  <property fmtid="{D5CDD505-2E9C-101B-9397-08002B2CF9AE}" pid="4" name="MediaServiceImageTags">
    <vt:lpwstr/>
  </property>
</Properties>
</file>