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9.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3.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6.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autoCompressPictures="0" defaultThemeVersion="124226"/>
  <mc:AlternateContent xmlns:mc="http://schemas.openxmlformats.org/markup-compatibility/2006">
    <mc:Choice Requires="x15">
      <x15ac:absPath xmlns:x15ac="http://schemas.microsoft.com/office/spreadsheetml/2010/11/ac" url="C:\Users\liz\Documents\Standard revision presentations\"/>
    </mc:Choice>
  </mc:AlternateContent>
  <xr:revisionPtr revIDLastSave="0" documentId="8_{42E9D800-D9B1-482C-92A0-D84B31EE79DC}" xr6:coauthVersionLast="47" xr6:coauthVersionMax="47" xr10:uidLastSave="{00000000-0000-0000-0000-000000000000}"/>
  <bookViews>
    <workbookView xWindow="-120" yWindow="-120" windowWidth="29040" windowHeight="15840" tabRatio="820" firstSheet="1" activeTab="1" xr2:uid="{00000000-000D-0000-FFFF-FFFF00000000}"/>
  </bookViews>
  <sheets>
    <sheet name="Changes" sheetId="28" r:id="rId1"/>
    <sheet name="Output Summary" sheetId="15" r:id="rId2"/>
    <sheet name="Input Data" sheetId="14" r:id="rId3"/>
    <sheet name="Whole supply area" sheetId="31" r:id="rId4"/>
    <sheet name="P5 Mill" sheetId="3" r:id="rId5"/>
    <sheet name="P5 Agric" sheetId="2" r:id="rId6"/>
    <sheet name="P4 Mill" sheetId="10" r:id="rId7"/>
    <sheet name="P4 Agric" sheetId="11" r:id="rId8"/>
    <sheet name="P3 Mill" sheetId="4" r:id="rId9"/>
    <sheet name="P3 Agric" sheetId="5" r:id="rId10"/>
    <sheet name="GHG emissions graph" sheetId="25" r:id="rId11"/>
    <sheet name="P2 Mill" sheetId="18" r:id="rId12"/>
    <sheet name="P2 Agric" sheetId="19" r:id="rId13"/>
    <sheet name="P1 Mill" sheetId="16" r:id="rId14"/>
    <sheet name="P1 Agric" sheetId="17" r:id="rId15"/>
    <sheet name="Scope 1&amp;2&amp;3" sheetId="30" r:id="rId16"/>
    <sheet name="P6 Agric" sheetId="26" r:id="rId17"/>
    <sheet name="P6 Mill" sheetId="21" r:id="rId18"/>
    <sheet name="Conversion factors" sheetId="27" r:id="rId19"/>
    <sheet name="Conversion Table" sheetId="12" r:id="rId20"/>
    <sheet name="References" sheetId="13" r:id="rId21"/>
    <sheet name="Symbols + Abbreviations" sheetId="24" r:id="rId22"/>
  </sheets>
  <externalReferences>
    <externalReference r:id="rId23"/>
  </externalReferences>
  <definedNames>
    <definedName name="_xlnm._FilterDatabase" localSheetId="2" hidden="1">'Input Data'!$A$5:$M$519</definedName>
    <definedName name="_Toc287015637" localSheetId="20">References!$A$8</definedName>
    <definedName name="_xlnm.Print_Area" localSheetId="2">'Input Data'!$C$5:$J$501</definedName>
    <definedName name="_xlnm.Print_Area" localSheetId="1">'Output Summary'!$B$1:$N$229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15" l="1"/>
  <c r="B36" i="15"/>
  <c r="D55" i="15" l="1"/>
  <c r="C55" i="15"/>
  <c r="D56" i="15"/>
  <c r="C56" i="15"/>
  <c r="D57" i="15"/>
  <c r="C57" i="15"/>
  <c r="D58" i="15"/>
  <c r="C58" i="15"/>
  <c r="D59" i="15"/>
  <c r="C59" i="15"/>
  <c r="D60" i="15"/>
  <c r="C60" i="15"/>
  <c r="H114" i="15"/>
  <c r="D114" i="15"/>
  <c r="H42" i="15"/>
  <c r="C20" i="17"/>
  <c r="D26" i="15"/>
  <c r="D27" i="15"/>
  <c r="D28" i="15"/>
  <c r="D25" i="15"/>
  <c r="C25" i="15"/>
  <c r="C28" i="15"/>
  <c r="C27" i="15"/>
  <c r="C26" i="15"/>
  <c r="D167" i="15"/>
  <c r="C26" i="10"/>
  <c r="C25" i="10"/>
  <c r="C24" i="10"/>
  <c r="C23" i="10"/>
  <c r="C28" i="10" s="1"/>
  <c r="C112" i="11"/>
  <c r="C53" i="31"/>
  <c r="H177" i="15"/>
  <c r="D177" i="15"/>
  <c r="H176" i="15"/>
  <c r="D176" i="15"/>
  <c r="H175" i="15"/>
  <c r="D175" i="15"/>
  <c r="H174" i="15"/>
  <c r="D174" i="15"/>
  <c r="D173" i="15"/>
  <c r="C177" i="15"/>
  <c r="C176" i="15"/>
  <c r="C175" i="15"/>
  <c r="C174" i="15"/>
  <c r="C173" i="15"/>
  <c r="H172" i="15"/>
  <c r="D172" i="15"/>
  <c r="C172" i="15"/>
  <c r="H171" i="15"/>
  <c r="D171" i="15"/>
  <c r="C171" i="15"/>
  <c r="D170" i="15"/>
  <c r="C170" i="15"/>
  <c r="H169" i="15"/>
  <c r="D169" i="15"/>
  <c r="C169" i="15"/>
  <c r="C168" i="15"/>
  <c r="H168" i="15"/>
  <c r="H167" i="15"/>
  <c r="D168" i="15"/>
  <c r="C167" i="15"/>
  <c r="C79" i="31"/>
  <c r="C81" i="31" s="1"/>
  <c r="E177" i="15" s="1"/>
  <c r="C71" i="31"/>
  <c r="C73" i="31" s="1"/>
  <c r="E73" i="31" s="1"/>
  <c r="G176" i="15" s="1"/>
  <c r="C61" i="31"/>
  <c r="C51" i="31"/>
  <c r="C52" i="31"/>
  <c r="C50" i="31"/>
  <c r="C43" i="31"/>
  <c r="C42" i="31"/>
  <c r="C41" i="31"/>
  <c r="C34" i="31"/>
  <c r="C33" i="31"/>
  <c r="C35" i="31" s="1"/>
  <c r="C32" i="31"/>
  <c r="E30" i="31" s="1"/>
  <c r="C27" i="31"/>
  <c r="E25" i="31" s="1"/>
  <c r="E27" i="31" s="1"/>
  <c r="G171" i="15" s="1"/>
  <c r="C20" i="31"/>
  <c r="C15" i="31"/>
  <c r="E13" i="31" s="1"/>
  <c r="E15" i="31" s="1"/>
  <c r="G169" i="15" s="1"/>
  <c r="C10" i="31"/>
  <c r="E8" i="31" s="1"/>
  <c r="E10" i="31" s="1"/>
  <c r="G168" i="15" s="1"/>
  <c r="C5" i="31"/>
  <c r="E3" i="31" s="1"/>
  <c r="E5" i="31" s="1"/>
  <c r="G167" i="15" s="1"/>
  <c r="C151" i="15"/>
  <c r="C152" i="15"/>
  <c r="D152" i="15"/>
  <c r="H152" i="15"/>
  <c r="D151" i="15"/>
  <c r="D150" i="15"/>
  <c r="H138" i="15"/>
  <c r="D138" i="15"/>
  <c r="D136" i="15"/>
  <c r="C50" i="16"/>
  <c r="C52" i="16" s="1"/>
  <c r="E48" i="16" s="1"/>
  <c r="E52" i="16" s="1"/>
  <c r="G114" i="15" s="1"/>
  <c r="C40" i="17"/>
  <c r="C42" i="17" s="1"/>
  <c r="E38" i="17" s="1"/>
  <c r="E42" i="17" s="1"/>
  <c r="G45" i="15" s="1"/>
  <c r="C114" i="15"/>
  <c r="H108" i="15"/>
  <c r="D108" i="15"/>
  <c r="C108" i="15"/>
  <c r="H107" i="15"/>
  <c r="D107" i="15"/>
  <c r="C107" i="15"/>
  <c r="H105" i="15"/>
  <c r="D105" i="15"/>
  <c r="C105" i="15"/>
  <c r="C106" i="15"/>
  <c r="H91" i="15"/>
  <c r="D91" i="15"/>
  <c r="H88" i="15"/>
  <c r="D88" i="15"/>
  <c r="D87" i="15"/>
  <c r="H87" i="15"/>
  <c r="H79" i="15"/>
  <c r="D79" i="15"/>
  <c r="D78" i="15"/>
  <c r="H45" i="15"/>
  <c r="D45" i="15"/>
  <c r="C45" i="15"/>
  <c r="H41" i="15"/>
  <c r="D41" i="15"/>
  <c r="C41" i="15"/>
  <c r="H40" i="15"/>
  <c r="D40" i="15"/>
  <c r="C40" i="15"/>
  <c r="C39" i="15"/>
  <c r="C110" i="11"/>
  <c r="C111" i="11"/>
  <c r="C109" i="11"/>
  <c r="C102" i="11"/>
  <c r="C101" i="11"/>
  <c r="C100" i="11"/>
  <c r="C16" i="10"/>
  <c r="C15" i="10"/>
  <c r="H151" i="15" s="1"/>
  <c r="C14" i="10"/>
  <c r="C20" i="16"/>
  <c r="E18" i="16" s="1"/>
  <c r="E20" i="16" s="1"/>
  <c r="G108" i="15" s="1"/>
  <c r="C15" i="16"/>
  <c r="E13" i="16" s="1"/>
  <c r="E15" i="16" s="1"/>
  <c r="G107" i="15" s="1"/>
  <c r="C5" i="16"/>
  <c r="E105" i="15" s="1"/>
  <c r="C149" i="18"/>
  <c r="E147" i="18" s="1"/>
  <c r="E149" i="18" s="1"/>
  <c r="G138" i="15" s="1"/>
  <c r="H38" i="15"/>
  <c r="D38" i="15"/>
  <c r="C38" i="15"/>
  <c r="C139" i="11"/>
  <c r="C28" i="11"/>
  <c r="C27" i="11"/>
  <c r="C26" i="11"/>
  <c r="C142" i="19"/>
  <c r="E140" i="19" s="1"/>
  <c r="E142" i="19" s="1"/>
  <c r="E18" i="17"/>
  <c r="E20" i="17" s="1"/>
  <c r="G41" i="15" s="1"/>
  <c r="C15" i="17"/>
  <c r="E13" i="17" s="1"/>
  <c r="E15" i="17" s="1"/>
  <c r="G40" i="15" s="1"/>
  <c r="C5" i="17"/>
  <c r="E3" i="17" s="1"/>
  <c r="E5" i="17" s="1"/>
  <c r="G38" i="15" s="1"/>
  <c r="C38" i="11"/>
  <c r="C37" i="11"/>
  <c r="C36" i="11"/>
  <c r="C34" i="11"/>
  <c r="H80" i="15"/>
  <c r="N38" i="15" l="1"/>
  <c r="F25" i="15"/>
  <c r="E114" i="15"/>
  <c r="C114" i="11"/>
  <c r="C55" i="31"/>
  <c r="E168" i="15"/>
  <c r="M171" i="15"/>
  <c r="N196" i="15"/>
  <c r="N201" i="15"/>
  <c r="M176" i="15"/>
  <c r="N192" i="15"/>
  <c r="M167" i="15"/>
  <c r="M169" i="15"/>
  <c r="N194" i="15"/>
  <c r="N193" i="15"/>
  <c r="M168" i="15"/>
  <c r="E171" i="15"/>
  <c r="E176" i="15"/>
  <c r="E169" i="15"/>
  <c r="E167" i="15"/>
  <c r="E38" i="15"/>
  <c r="E106" i="11"/>
  <c r="E114" i="11" s="1"/>
  <c r="G88" i="15" s="1"/>
  <c r="E138" i="15"/>
  <c r="E108" i="15"/>
  <c r="E3" i="16"/>
  <c r="E5" i="16" s="1"/>
  <c r="G105" i="15" s="1"/>
  <c r="E107" i="15"/>
  <c r="E45" i="15"/>
  <c r="E40" i="15"/>
  <c r="E41" i="15"/>
  <c r="C17" i="10"/>
  <c r="C103" i="11"/>
  <c r="C29" i="11"/>
  <c r="E81" i="31"/>
  <c r="G177" i="15" s="1"/>
  <c r="C44" i="31"/>
  <c r="H166" i="15"/>
  <c r="D166" i="15"/>
  <c r="C166" i="15"/>
  <c r="H104" i="15"/>
  <c r="D104" i="15"/>
  <c r="C104" i="15"/>
  <c r="C71" i="2"/>
  <c r="C72" i="2"/>
  <c r="E44" i="31" l="1"/>
  <c r="G173" i="15" s="1"/>
  <c r="E173" i="15"/>
  <c r="H173" i="15"/>
  <c r="N202" i="15"/>
  <c r="M177" i="15"/>
  <c r="E47" i="31"/>
  <c r="E55" i="31" s="1"/>
  <c r="G174" i="15" s="1"/>
  <c r="E174" i="15"/>
  <c r="E35" i="31"/>
  <c r="G172" i="15" s="1"/>
  <c r="E172" i="15"/>
  <c r="E88" i="15"/>
  <c r="E20" i="10"/>
  <c r="E28" i="10" s="1"/>
  <c r="G152" i="15" s="1"/>
  <c r="E152" i="15"/>
  <c r="E24" i="11"/>
  <c r="E29" i="11" s="1"/>
  <c r="G79" i="15" s="1"/>
  <c r="E79" i="15"/>
  <c r="E103" i="11"/>
  <c r="G87" i="15" s="1"/>
  <c r="E87" i="15"/>
  <c r="E17" i="10"/>
  <c r="G151" i="15" s="1"/>
  <c r="E151" i="15"/>
  <c r="C74" i="2"/>
  <c r="E104" i="15" s="1"/>
  <c r="M174" i="15" l="1"/>
  <c r="N199" i="15"/>
  <c r="N198" i="15"/>
  <c r="M173" i="15"/>
  <c r="N197" i="15"/>
  <c r="M172" i="15"/>
  <c r="E74" i="2"/>
  <c r="G104" i="15" s="1"/>
  <c r="C41" i="18"/>
  <c r="E68" i="2" l="1"/>
  <c r="C18" i="18"/>
  <c r="C17" i="18"/>
  <c r="C19" i="18" s="1"/>
  <c r="C18" i="19"/>
  <c r="C65" i="10" l="1"/>
  <c r="C64" i="10"/>
  <c r="F21" i="15"/>
  <c r="C90" i="3"/>
  <c r="C91" i="3"/>
  <c r="C67" i="3"/>
  <c r="C85" i="11"/>
  <c r="C86" i="11" s="1"/>
  <c r="C84" i="11"/>
  <c r="C5" i="11"/>
  <c r="C7" i="11" s="1"/>
  <c r="E3" i="11" s="1"/>
  <c r="H109" i="15"/>
  <c r="D109" i="15"/>
  <c r="C109" i="15"/>
  <c r="D42" i="15"/>
  <c r="C42" i="15"/>
  <c r="C75" i="11"/>
  <c r="C74" i="11"/>
  <c r="C73" i="11"/>
  <c r="C72" i="11"/>
  <c r="C71" i="11"/>
  <c r="C67" i="11"/>
  <c r="C68" i="11"/>
  <c r="C63" i="10"/>
  <c r="C117" i="18"/>
  <c r="C116" i="18"/>
  <c r="C117" i="19"/>
  <c r="C116" i="19"/>
  <c r="C56" i="18"/>
  <c r="C54" i="18"/>
  <c r="E51" i="18" s="1"/>
  <c r="C55" i="18"/>
  <c r="C54" i="19"/>
  <c r="E51" i="19" s="1"/>
  <c r="C56" i="19"/>
  <c r="H113" i="15"/>
  <c r="D113" i="15"/>
  <c r="C113" i="15"/>
  <c r="C112" i="15"/>
  <c r="C45" i="16"/>
  <c r="E43" i="16" s="1"/>
  <c r="E45" i="16" s="1"/>
  <c r="G113" i="15" s="1"/>
  <c r="H163" i="15"/>
  <c r="D163" i="15"/>
  <c r="D162" i="15"/>
  <c r="C163" i="15"/>
  <c r="C162" i="15"/>
  <c r="C101" i="3"/>
  <c r="C103" i="3" s="1"/>
  <c r="E103" i="3" s="1"/>
  <c r="G163" i="15" s="1"/>
  <c r="H161" i="15"/>
  <c r="H160" i="15"/>
  <c r="D161" i="15"/>
  <c r="D160" i="15"/>
  <c r="C161" i="15"/>
  <c r="C160" i="15"/>
  <c r="C75" i="3"/>
  <c r="C77" i="3" s="1"/>
  <c r="E77" i="3" s="1"/>
  <c r="G161" i="15" s="1"/>
  <c r="H101" i="15"/>
  <c r="H100" i="15"/>
  <c r="D101" i="15"/>
  <c r="D100" i="15"/>
  <c r="C101" i="15"/>
  <c r="C100" i="15"/>
  <c r="C40" i="2"/>
  <c r="C42" i="2" s="1"/>
  <c r="E42" i="2" s="1"/>
  <c r="G101" i="15" s="1"/>
  <c r="C65" i="11"/>
  <c r="C66" i="11"/>
  <c r="H84" i="15"/>
  <c r="D84" i="15"/>
  <c r="H135" i="15"/>
  <c r="F135" i="15"/>
  <c r="D135" i="15"/>
  <c r="H134" i="15"/>
  <c r="D134" i="15"/>
  <c r="F23" i="15" l="1"/>
  <c r="M113" i="15"/>
  <c r="N138" i="15"/>
  <c r="M101" i="15"/>
  <c r="N126" i="15"/>
  <c r="N188" i="15"/>
  <c r="M163" i="15"/>
  <c r="M161" i="15"/>
  <c r="N186" i="15"/>
  <c r="F28" i="15"/>
  <c r="C78" i="11"/>
  <c r="E163" i="15"/>
  <c r="E113" i="15"/>
  <c r="E161" i="15"/>
  <c r="E101" i="15"/>
  <c r="C132" i="18" l="1"/>
  <c r="F156" i="15" l="1"/>
  <c r="F96" i="15"/>
  <c r="C125" i="19"/>
  <c r="C124" i="19"/>
  <c r="C125" i="18"/>
  <c r="F65" i="15"/>
  <c r="C90" i="18"/>
  <c r="C89" i="18"/>
  <c r="C87" i="18"/>
  <c r="C94" i="18" s="1"/>
  <c r="C89" i="19"/>
  <c r="C127" i="19" l="1"/>
  <c r="E122" i="19" s="1"/>
  <c r="C91" i="18"/>
  <c r="H165" i="15"/>
  <c r="H164" i="15"/>
  <c r="F164" i="15"/>
  <c r="F159" i="15"/>
  <c r="D165" i="15"/>
  <c r="D164" i="15"/>
  <c r="C165" i="15"/>
  <c r="C164" i="15"/>
  <c r="C114" i="3"/>
  <c r="C113" i="3"/>
  <c r="D117" i="3"/>
  <c r="F165" i="15" s="1"/>
  <c r="H103" i="15"/>
  <c r="D103" i="15"/>
  <c r="C103" i="15"/>
  <c r="D56" i="2"/>
  <c r="F103" i="15" s="1"/>
  <c r="H162" i="15"/>
  <c r="C108" i="3"/>
  <c r="E164" i="15" s="1"/>
  <c r="H102" i="15"/>
  <c r="F102" i="15"/>
  <c r="D102" i="15"/>
  <c r="C102" i="15"/>
  <c r="C47" i="2"/>
  <c r="C93" i="3"/>
  <c r="C92" i="3"/>
  <c r="H159" i="15"/>
  <c r="C159" i="15"/>
  <c r="C69" i="3"/>
  <c r="E69" i="3" s="1"/>
  <c r="E64" i="3" s="1"/>
  <c r="H99" i="15"/>
  <c r="C99" i="15"/>
  <c r="C32" i="2"/>
  <c r="C34" i="2" s="1"/>
  <c r="H158" i="15"/>
  <c r="D159" i="15"/>
  <c r="C158" i="15"/>
  <c r="C45" i="3"/>
  <c r="C43" i="3"/>
  <c r="C40" i="3"/>
  <c r="C37" i="3"/>
  <c r="C33" i="3"/>
  <c r="C34" i="3" s="1"/>
  <c r="C31" i="3"/>
  <c r="D99" i="15"/>
  <c r="F99" i="15"/>
  <c r="C98" i="15"/>
  <c r="C17" i="2"/>
  <c r="C15" i="2"/>
  <c r="C14" i="2"/>
  <c r="C95" i="3" l="1"/>
  <c r="E162" i="15" s="1"/>
  <c r="E34" i="2"/>
  <c r="E29" i="2" s="1"/>
  <c r="G160" i="15"/>
  <c r="E160" i="15"/>
  <c r="E47" i="2"/>
  <c r="E102" i="15"/>
  <c r="E100" i="15"/>
  <c r="N129" i="15" l="1"/>
  <c r="M104" i="15"/>
  <c r="M160" i="15"/>
  <c r="N185" i="15"/>
  <c r="G100" i="15"/>
  <c r="E95" i="3"/>
  <c r="G162" i="15" s="1"/>
  <c r="M100" i="15" l="1"/>
  <c r="N125" i="15"/>
  <c r="N187" i="15"/>
  <c r="M162" i="15"/>
  <c r="H157" i="15"/>
  <c r="H156" i="15"/>
  <c r="D158" i="15"/>
  <c r="C6" i="3"/>
  <c r="C8" i="3" s="1"/>
  <c r="E8" i="3" s="1"/>
  <c r="G158" i="15" s="1"/>
  <c r="D98" i="15"/>
  <c r="C6" i="2"/>
  <c r="H98" i="15" s="1"/>
  <c r="C90" i="19"/>
  <c r="C87" i="19"/>
  <c r="C94" i="19" s="1"/>
  <c r="C55" i="19"/>
  <c r="D115" i="15"/>
  <c r="C115" i="15"/>
  <c r="D46" i="15"/>
  <c r="C46" i="15"/>
  <c r="H116" i="15"/>
  <c r="D116" i="15"/>
  <c r="C116" i="15"/>
  <c r="C56" i="16"/>
  <c r="C66" i="16"/>
  <c r="E64" i="16" s="1"/>
  <c r="E66" i="16" s="1"/>
  <c r="G116" i="15" s="1"/>
  <c r="H47" i="15"/>
  <c r="D47" i="15"/>
  <c r="C47" i="15"/>
  <c r="C56" i="17"/>
  <c r="E54" i="17" s="1"/>
  <c r="E56" i="17" s="1"/>
  <c r="G47" i="15" s="1"/>
  <c r="C59" i="16"/>
  <c r="H115" i="15" s="1"/>
  <c r="C58" i="16"/>
  <c r="C46" i="17"/>
  <c r="C49" i="17"/>
  <c r="H46" i="15" s="1"/>
  <c r="C48" i="17"/>
  <c r="H112" i="15"/>
  <c r="H44" i="15"/>
  <c r="C44" i="15"/>
  <c r="H111" i="15"/>
  <c r="D112" i="15"/>
  <c r="C111" i="15"/>
  <c r="M45" i="15" l="1"/>
  <c r="N70" i="15"/>
  <c r="M47" i="15"/>
  <c r="N72" i="15"/>
  <c r="N139" i="15"/>
  <c r="M114" i="15"/>
  <c r="M116" i="15"/>
  <c r="N141" i="15"/>
  <c r="M158" i="15"/>
  <c r="N183" i="15"/>
  <c r="C91" i="19"/>
  <c r="E158" i="15"/>
  <c r="C8" i="2"/>
  <c r="E98" i="15" s="1"/>
  <c r="E45" i="17"/>
  <c r="E51" i="17" s="1"/>
  <c r="G46" i="15" s="1"/>
  <c r="C51" i="17"/>
  <c r="E46" i="15" s="1"/>
  <c r="C61" i="16"/>
  <c r="E55" i="16"/>
  <c r="E116" i="15"/>
  <c r="E47" i="15"/>
  <c r="N71" i="15" l="1"/>
  <c r="M46" i="15"/>
  <c r="E8" i="2"/>
  <c r="G98" i="15" s="1"/>
  <c r="E61" i="16"/>
  <c r="G115" i="15" s="1"/>
  <c r="E115" i="15"/>
  <c r="M98" i="15" l="1"/>
  <c r="N123" i="15"/>
  <c r="N140" i="15"/>
  <c r="M115" i="15"/>
  <c r="H110" i="15"/>
  <c r="D111" i="15"/>
  <c r="D110" i="15"/>
  <c r="C110" i="15"/>
  <c r="C35" i="16"/>
  <c r="E33" i="16" s="1"/>
  <c r="E35" i="16" s="1"/>
  <c r="G111" i="15" s="1"/>
  <c r="H43" i="15"/>
  <c r="D44" i="15"/>
  <c r="C43" i="15"/>
  <c r="C35" i="17"/>
  <c r="E33" i="17" s="1"/>
  <c r="E35" i="17" s="1"/>
  <c r="G44" i="15" s="1"/>
  <c r="D43" i="15"/>
  <c r="C30" i="17"/>
  <c r="E28" i="17" s="1"/>
  <c r="E30" i="17" s="1"/>
  <c r="G43" i="15" s="1"/>
  <c r="C25" i="16"/>
  <c r="E109" i="15" s="1"/>
  <c r="C25" i="17"/>
  <c r="E42" i="15" s="1"/>
  <c r="H39" i="15"/>
  <c r="C10" i="16"/>
  <c r="E8" i="16" s="1"/>
  <c r="D39" i="15"/>
  <c r="C10" i="17"/>
  <c r="C123" i="3"/>
  <c r="C124" i="3"/>
  <c r="C14" i="3"/>
  <c r="C15" i="3"/>
  <c r="C19" i="3"/>
  <c r="C21" i="3"/>
  <c r="C25" i="3"/>
  <c r="C62" i="10"/>
  <c r="C66" i="10"/>
  <c r="C38" i="3"/>
  <c r="C39" i="3" s="1"/>
  <c r="C41" i="3" s="1"/>
  <c r="C44" i="3"/>
  <c r="C46" i="3" s="1"/>
  <c r="C48" i="3"/>
  <c r="C49" i="3"/>
  <c r="C50" i="3"/>
  <c r="C26" i="3"/>
  <c r="C28" i="3"/>
  <c r="C40" i="16"/>
  <c r="C57" i="18"/>
  <c r="C59" i="18" s="1"/>
  <c r="C30" i="16"/>
  <c r="C57" i="19"/>
  <c r="C59" i="19" s="1"/>
  <c r="C88" i="19"/>
  <c r="C92" i="19" s="1"/>
  <c r="C93" i="19" s="1"/>
  <c r="C40" i="19"/>
  <c r="C17" i="19"/>
  <c r="C19" i="19" s="1"/>
  <c r="C27" i="3"/>
  <c r="C16" i="3"/>
  <c r="C140" i="11"/>
  <c r="C143" i="11" s="1"/>
  <c r="C51" i="3" l="1"/>
  <c r="C17" i="3"/>
  <c r="C29" i="3"/>
  <c r="C126" i="3"/>
  <c r="E126" i="3" s="1"/>
  <c r="E143" i="11"/>
  <c r="G91" i="15" s="1"/>
  <c r="E91" i="15"/>
  <c r="C141" i="19"/>
  <c r="C21" i="10"/>
  <c r="C148" i="18"/>
  <c r="C14" i="16"/>
  <c r="C4" i="16"/>
  <c r="C22" i="31"/>
  <c r="E8" i="17"/>
  <c r="E10" i="17" s="1"/>
  <c r="G39" i="15" s="1"/>
  <c r="C35" i="11"/>
  <c r="C39" i="11" s="1"/>
  <c r="C62" i="31"/>
  <c r="C65" i="31" s="1"/>
  <c r="C48" i="31"/>
  <c r="C26" i="31"/>
  <c r="C9" i="31"/>
  <c r="C20" i="3"/>
  <c r="C22" i="3" s="1"/>
  <c r="C24" i="3" s="1"/>
  <c r="C74" i="4"/>
  <c r="E166" i="15"/>
  <c r="M43" i="15"/>
  <c r="N68" i="15"/>
  <c r="M44" i="15"/>
  <c r="N69" i="15"/>
  <c r="M40" i="15"/>
  <c r="N65" i="15"/>
  <c r="N136" i="15"/>
  <c r="M111" i="15"/>
  <c r="E108" i="3"/>
  <c r="G164" i="15" s="1"/>
  <c r="C40" i="18"/>
  <c r="C32" i="3"/>
  <c r="C35" i="3" s="1"/>
  <c r="C53" i="3" s="1"/>
  <c r="C54" i="3" s="1"/>
  <c r="C192" i="4"/>
  <c r="E95" i="19"/>
  <c r="C95" i="19"/>
  <c r="E60" i="15" s="1"/>
  <c r="C41" i="19"/>
  <c r="C133" i="18"/>
  <c r="E23" i="16"/>
  <c r="E25" i="16" s="1"/>
  <c r="G109" i="15" s="1"/>
  <c r="E23" i="17"/>
  <c r="E25" i="17" s="1"/>
  <c r="G42" i="15" s="1"/>
  <c r="N67" i="15" s="1"/>
  <c r="C161" i="11"/>
  <c r="C151" i="11"/>
  <c r="C88" i="18"/>
  <c r="C92" i="18" s="1"/>
  <c r="C93" i="18" s="1"/>
  <c r="E95" i="18" s="1"/>
  <c r="F263" i="14"/>
  <c r="D88" i="18"/>
  <c r="D89" i="19"/>
  <c r="D88" i="19"/>
  <c r="D90" i="18"/>
  <c r="D91" i="18" s="1"/>
  <c r="D92" i="18" s="1"/>
  <c r="D89" i="18"/>
  <c r="F57" i="14"/>
  <c r="C52" i="2"/>
  <c r="C115" i="3"/>
  <c r="C117" i="3" s="1"/>
  <c r="C24" i="2"/>
  <c r="D33" i="3"/>
  <c r="D34" i="3"/>
  <c r="C59" i="3"/>
  <c r="D45" i="3"/>
  <c r="D50" i="3" s="1"/>
  <c r="D59" i="3"/>
  <c r="D57" i="3"/>
  <c r="D40" i="3"/>
  <c r="F360" i="14"/>
  <c r="F356" i="14"/>
  <c r="F359" i="14"/>
  <c r="F355" i="14"/>
  <c r="F358" i="14"/>
  <c r="F357" i="14"/>
  <c r="D28" i="3"/>
  <c r="D22" i="3"/>
  <c r="D19" i="3"/>
  <c r="D17" i="3"/>
  <c r="D14" i="3"/>
  <c r="D55" i="3"/>
  <c r="D54" i="3"/>
  <c r="D15" i="3"/>
  <c r="D21" i="3" s="1"/>
  <c r="D26" i="3"/>
  <c r="D25" i="3"/>
  <c r="D24" i="3"/>
  <c r="C20" i="2"/>
  <c r="C16" i="2"/>
  <c r="C18" i="2" s="1"/>
  <c r="C19" i="2" s="1"/>
  <c r="C21" i="2" s="1"/>
  <c r="D22" i="2"/>
  <c r="D18" i="2"/>
  <c r="D24" i="2"/>
  <c r="D21" i="2"/>
  <c r="D17" i="2"/>
  <c r="D15" i="2"/>
  <c r="D19" i="2"/>
  <c r="D14" i="2"/>
  <c r="F177" i="14"/>
  <c r="F176" i="14"/>
  <c r="F178" i="14"/>
  <c r="E59" i="18"/>
  <c r="E38" i="16"/>
  <c r="E40" i="16" s="1"/>
  <c r="G112" i="15" s="1"/>
  <c r="E112" i="15"/>
  <c r="E111" i="15"/>
  <c r="E28" i="16"/>
  <c r="E30" i="16" s="1"/>
  <c r="G110" i="15" s="1"/>
  <c r="E110" i="15"/>
  <c r="E44" i="15"/>
  <c r="E43" i="15"/>
  <c r="E39" i="15"/>
  <c r="C130" i="11"/>
  <c r="C131" i="11" s="1"/>
  <c r="C148" i="15"/>
  <c r="C147" i="15"/>
  <c r="C124" i="18"/>
  <c r="C126" i="18" s="1"/>
  <c r="E134" i="15" s="1"/>
  <c r="C119" i="11"/>
  <c r="H82" i="15"/>
  <c r="H81" i="15"/>
  <c r="H85" i="15"/>
  <c r="H83" i="15"/>
  <c r="E65" i="31" l="1"/>
  <c r="G175" i="15" s="1"/>
  <c r="E175" i="15"/>
  <c r="E18" i="31"/>
  <c r="E22" i="31" s="1"/>
  <c r="G170" i="15" s="1"/>
  <c r="H170" i="15"/>
  <c r="E170" i="15"/>
  <c r="M39" i="15"/>
  <c r="N64" i="15"/>
  <c r="C40" i="11"/>
  <c r="E32" i="11"/>
  <c r="E40" i="11" s="1"/>
  <c r="E120" i="3"/>
  <c r="G166" i="15"/>
  <c r="N66" i="15"/>
  <c r="M41" i="15"/>
  <c r="M109" i="15"/>
  <c r="N134" i="15"/>
  <c r="M42" i="15"/>
  <c r="N135" i="15"/>
  <c r="M110" i="15"/>
  <c r="N137" i="15"/>
  <c r="M112" i="15"/>
  <c r="N189" i="15"/>
  <c r="M164" i="15"/>
  <c r="C95" i="18"/>
  <c r="E117" i="3"/>
  <c r="G165" i="15" s="1"/>
  <c r="E165" i="15"/>
  <c r="C22" i="2"/>
  <c r="C26" i="2" s="1"/>
  <c r="C55" i="3"/>
  <c r="C57" i="3" s="1"/>
  <c r="C61" i="3" s="1"/>
  <c r="E61" i="3" s="1"/>
  <c r="E11" i="3" s="1"/>
  <c r="D29" i="3"/>
  <c r="D31" i="3"/>
  <c r="D35" i="3" s="1"/>
  <c r="D37" i="3" s="1"/>
  <c r="D41" i="3" s="1"/>
  <c r="D43" i="3" s="1"/>
  <c r="E122" i="18"/>
  <c r="C80" i="19"/>
  <c r="C125" i="11"/>
  <c r="C127" i="11"/>
  <c r="C126" i="11"/>
  <c r="C41" i="4"/>
  <c r="C79" i="19"/>
  <c r="C80" i="18"/>
  <c r="C79" i="18"/>
  <c r="N195" i="15" l="1"/>
  <c r="M170" i="15"/>
  <c r="M175" i="15"/>
  <c r="N200" i="15"/>
  <c r="M108" i="15"/>
  <c r="N133" i="15"/>
  <c r="M166" i="15"/>
  <c r="N191" i="15"/>
  <c r="N190" i="15"/>
  <c r="M165" i="15"/>
  <c r="E99" i="15"/>
  <c r="E26" i="2"/>
  <c r="E11" i="2" s="1"/>
  <c r="G159" i="15"/>
  <c r="E159" i="15"/>
  <c r="D46" i="3"/>
  <c r="D48" i="3"/>
  <c r="D51" i="3" s="1"/>
  <c r="D53" i="3" s="1"/>
  <c r="C82" i="18"/>
  <c r="C82" i="19"/>
  <c r="E59" i="15" s="1"/>
  <c r="D15" i="15" l="1"/>
  <c r="N184" i="15"/>
  <c r="M159" i="15"/>
  <c r="G99" i="15"/>
  <c r="E82" i="11"/>
  <c r="C59" i="11"/>
  <c r="C60" i="11" s="1"/>
  <c r="E57" i="11" s="1"/>
  <c r="C53" i="11"/>
  <c r="C52" i="11"/>
  <c r="C51" i="11"/>
  <c r="C50" i="11"/>
  <c r="C5" i="10"/>
  <c r="C7" i="10" s="1"/>
  <c r="C6" i="10"/>
  <c r="C12" i="11"/>
  <c r="C13" i="11"/>
  <c r="N124" i="15" l="1"/>
  <c r="M99" i="15"/>
  <c r="C14" i="11"/>
  <c r="E10" i="11" s="1"/>
  <c r="C54" i="11"/>
  <c r="E48" i="11" s="1"/>
  <c r="C8" i="10"/>
  <c r="E3" i="10" s="1"/>
  <c r="E8" i="10" s="1"/>
  <c r="C68" i="5"/>
  <c r="C67" i="5"/>
  <c r="C66" i="5"/>
  <c r="C271" i="5"/>
  <c r="C69" i="5" l="1"/>
  <c r="E60" i="5"/>
  <c r="E69" i="5" s="1"/>
  <c r="C105" i="19"/>
  <c r="C105" i="18"/>
  <c r="C113" i="4" l="1"/>
  <c r="C90" i="4"/>
  <c r="D157" i="15" l="1"/>
  <c r="D156" i="15"/>
  <c r="D155" i="15"/>
  <c r="C85" i="10"/>
  <c r="C76" i="10"/>
  <c r="H155" i="15"/>
  <c r="D154" i="15"/>
  <c r="D153" i="15"/>
  <c r="C53" i="10"/>
  <c r="C52" i="10"/>
  <c r="C50" i="10"/>
  <c r="C51" i="10" s="1"/>
  <c r="C49" i="10"/>
  <c r="C46" i="10"/>
  <c r="C44" i="10"/>
  <c r="C42" i="10"/>
  <c r="C41" i="10"/>
  <c r="H153" i="15"/>
  <c r="C33" i="10"/>
  <c r="E31" i="10" s="1"/>
  <c r="E33" i="10" s="1"/>
  <c r="G153" i="15" s="1"/>
  <c r="C32" i="10"/>
  <c r="H150" i="15"/>
  <c r="E150" i="15"/>
  <c r="D149" i="15"/>
  <c r="G150" i="15"/>
  <c r="H149" i="15"/>
  <c r="D148" i="15"/>
  <c r="H148" i="15"/>
  <c r="F148" i="15"/>
  <c r="D147" i="15"/>
  <c r="C398" i="4"/>
  <c r="C412" i="4"/>
  <c r="C410" i="4"/>
  <c r="C407" i="4"/>
  <c r="C404" i="4"/>
  <c r="C403" i="4"/>
  <c r="C396" i="4"/>
  <c r="C392" i="4"/>
  <c r="F147" i="15"/>
  <c r="D146" i="15"/>
  <c r="H147" i="15"/>
  <c r="H146" i="15"/>
  <c r="F146" i="15"/>
  <c r="D145" i="15"/>
  <c r="H145" i="15"/>
  <c r="F145" i="15"/>
  <c r="D144" i="15"/>
  <c r="C96" i="4"/>
  <c r="C95" i="4"/>
  <c r="C94" i="4"/>
  <c r="C161" i="4"/>
  <c r="C131" i="4"/>
  <c r="C130" i="4"/>
  <c r="C122" i="4"/>
  <c r="C123" i="4"/>
  <c r="C112" i="4"/>
  <c r="D368" i="4"/>
  <c r="D370" i="4"/>
  <c r="D375" i="4"/>
  <c r="C370" i="4"/>
  <c r="C369" i="4"/>
  <c r="C355" i="4"/>
  <c r="C354" i="4"/>
  <c r="C353" i="4"/>
  <c r="C324" i="4"/>
  <c r="C329" i="4"/>
  <c r="C47" i="10"/>
  <c r="C48" i="10" s="1"/>
  <c r="C393" i="4"/>
  <c r="C352" i="4"/>
  <c r="C347" i="4"/>
  <c r="C346" i="4"/>
  <c r="C330" i="4"/>
  <c r="C328" i="4"/>
  <c r="C327" i="4"/>
  <c r="C323" i="4"/>
  <c r="C322" i="4"/>
  <c r="C321" i="4"/>
  <c r="C320" i="4"/>
  <c r="C319" i="4"/>
  <c r="C308" i="4"/>
  <c r="C302" i="4"/>
  <c r="C296" i="4"/>
  <c r="C290" i="4"/>
  <c r="C284" i="4"/>
  <c r="F323" i="14"/>
  <c r="F322" i="14"/>
  <c r="F321" i="14"/>
  <c r="F319" i="14"/>
  <c r="C278" i="4"/>
  <c r="C87" i="10" l="1"/>
  <c r="M153" i="15"/>
  <c r="N178" i="15"/>
  <c r="M151" i="15"/>
  <c r="N176" i="15"/>
  <c r="N177" i="15"/>
  <c r="M152" i="15"/>
  <c r="M150" i="15"/>
  <c r="N175" i="15"/>
  <c r="C79" i="10"/>
  <c r="C405" i="4"/>
  <c r="C408" i="4" s="1"/>
  <c r="C411" i="4" s="1"/>
  <c r="C413" i="4" s="1"/>
  <c r="C394" i="4"/>
  <c r="C397" i="4" s="1"/>
  <c r="C399" i="4" s="1"/>
  <c r="C415" i="4" s="1"/>
  <c r="C43" i="10"/>
  <c r="C45" i="10" s="1"/>
  <c r="E153" i="15"/>
  <c r="C54" i="10"/>
  <c r="C67" i="10" s="1"/>
  <c r="C39" i="10"/>
  <c r="C36" i="10"/>
  <c r="H154" i="15" s="1"/>
  <c r="E87" i="10" l="1"/>
  <c r="G157" i="15" s="1"/>
  <c r="E157" i="15"/>
  <c r="C69" i="10"/>
  <c r="C68" i="10"/>
  <c r="E70" i="10" s="1"/>
  <c r="G155" i="15"/>
  <c r="E156" i="15"/>
  <c r="E79" i="10"/>
  <c r="G156" i="15" s="1"/>
  <c r="E54" i="11"/>
  <c r="E148" i="15"/>
  <c r="C363" i="4"/>
  <c r="C150" i="4"/>
  <c r="C56" i="10"/>
  <c r="E154" i="15" s="1"/>
  <c r="M157" i="15" l="1"/>
  <c r="N182" i="15"/>
  <c r="N181" i="15"/>
  <c r="M156" i="15"/>
  <c r="N180" i="15"/>
  <c r="M155" i="15"/>
  <c r="C70" i="10"/>
  <c r="E155" i="15" s="1"/>
  <c r="E56" i="10"/>
  <c r="G154" i="15" s="1"/>
  <c r="N179" i="15" l="1"/>
  <c r="M154" i="15"/>
  <c r="C268" i="4"/>
  <c r="C263" i="4"/>
  <c r="C253" i="4"/>
  <c r="C248" i="4"/>
  <c r="C235" i="4"/>
  <c r="C230" i="4"/>
  <c r="C220" i="4"/>
  <c r="C219" i="4"/>
  <c r="C216" i="4"/>
  <c r="C213" i="4"/>
  <c r="C210" i="4"/>
  <c r="H144" i="15"/>
  <c r="D143" i="15"/>
  <c r="C83" i="4"/>
  <c r="H143" i="15"/>
  <c r="D142" i="15"/>
  <c r="C75" i="4"/>
  <c r="C69" i="4"/>
  <c r="C66" i="4"/>
  <c r="C65" i="4"/>
  <c r="C40" i="4"/>
  <c r="C47" i="4"/>
  <c r="H142" i="15"/>
  <c r="D141" i="15"/>
  <c r="C46" i="4"/>
  <c r="H141" i="15"/>
  <c r="D140" i="15"/>
  <c r="H140" i="15"/>
  <c r="D139" i="15"/>
  <c r="H139" i="15"/>
  <c r="C20" i="4"/>
  <c r="C17" i="4"/>
  <c r="C9" i="4"/>
  <c r="C19" i="4" s="1"/>
  <c r="C7" i="4"/>
  <c r="C4" i="4"/>
  <c r="H137" i="15"/>
  <c r="H136" i="15"/>
  <c r="C144" i="18"/>
  <c r="E142" i="18" s="1"/>
  <c r="E144" i="18" s="1"/>
  <c r="G137" i="15" s="1"/>
  <c r="C139" i="18"/>
  <c r="E137" i="18" s="1"/>
  <c r="E139" i="18" s="1"/>
  <c r="G136" i="15" s="1"/>
  <c r="C143" i="18"/>
  <c r="C138" i="18"/>
  <c r="D133" i="15"/>
  <c r="H133" i="15"/>
  <c r="D132" i="15"/>
  <c r="E126" i="18"/>
  <c r="C123" i="18"/>
  <c r="C114" i="18"/>
  <c r="H132" i="15"/>
  <c r="D131" i="15"/>
  <c r="C110" i="18"/>
  <c r="E108" i="18" s="1"/>
  <c r="E110" i="18" s="1"/>
  <c r="G132" i="15" s="1"/>
  <c r="C109" i="18"/>
  <c r="H131" i="15"/>
  <c r="D130" i="15"/>
  <c r="E103" i="18"/>
  <c r="E105" i="18" s="1"/>
  <c r="G131" i="15" s="1"/>
  <c r="C104" i="18"/>
  <c r="H130" i="15"/>
  <c r="C100" i="18"/>
  <c r="E130" i="15" s="1"/>
  <c r="D129" i="15"/>
  <c r="F129" i="15"/>
  <c r="H129" i="15"/>
  <c r="D128" i="15"/>
  <c r="H128" i="15"/>
  <c r="D127" i="15"/>
  <c r="E85" i="18"/>
  <c r="E82" i="18"/>
  <c r="E76" i="18" s="1"/>
  <c r="D80" i="18"/>
  <c r="D79" i="18" s="1"/>
  <c r="C77" i="18"/>
  <c r="H127" i="15"/>
  <c r="D126" i="15"/>
  <c r="C71" i="18"/>
  <c r="C70" i="18"/>
  <c r="H126" i="15"/>
  <c r="D125" i="15"/>
  <c r="C64" i="18"/>
  <c r="E126" i="15" s="1"/>
  <c r="H125" i="15"/>
  <c r="D124" i="15"/>
  <c r="H124" i="15"/>
  <c r="D123" i="15"/>
  <c r="C48" i="18"/>
  <c r="E124" i="15" s="1"/>
  <c r="H123" i="15"/>
  <c r="H122" i="15"/>
  <c r="H121" i="15"/>
  <c r="D121" i="15"/>
  <c r="H120" i="15"/>
  <c r="H119" i="15"/>
  <c r="D119" i="15"/>
  <c r="H118" i="15"/>
  <c r="D118" i="15"/>
  <c r="H117" i="15"/>
  <c r="D117" i="15"/>
  <c r="C34" i="18"/>
  <c r="E32" i="18" s="1"/>
  <c r="E34" i="18" s="1"/>
  <c r="G122" i="15" s="1"/>
  <c r="C29" i="18"/>
  <c r="E27" i="18" s="1"/>
  <c r="E29" i="18" s="1"/>
  <c r="G121" i="15" s="1"/>
  <c r="C24" i="18"/>
  <c r="E22" i="18" s="1"/>
  <c r="E24" i="18" s="1"/>
  <c r="G120" i="15" s="1"/>
  <c r="E15" i="18"/>
  <c r="E19" i="18" s="1"/>
  <c r="G119" i="15" s="1"/>
  <c r="C38" i="18"/>
  <c r="C33" i="18"/>
  <c r="C28" i="18"/>
  <c r="C23" i="18"/>
  <c r="C16" i="18"/>
  <c r="C38" i="19"/>
  <c r="M137" i="15" l="1"/>
  <c r="N162" i="15"/>
  <c r="M138" i="15"/>
  <c r="N163" i="15"/>
  <c r="N156" i="15"/>
  <c r="M131" i="15"/>
  <c r="M121" i="15"/>
  <c r="N146" i="15"/>
  <c r="N144" i="15"/>
  <c r="M119" i="15"/>
  <c r="N145" i="15"/>
  <c r="M120" i="15"/>
  <c r="N147" i="15"/>
  <c r="M122" i="15"/>
  <c r="N157" i="15"/>
  <c r="M132" i="15"/>
  <c r="N161" i="15"/>
  <c r="M136" i="15"/>
  <c r="G134" i="15"/>
  <c r="C21" i="4"/>
  <c r="C23" i="4" s="1"/>
  <c r="E140" i="15" s="1"/>
  <c r="E144" i="15"/>
  <c r="E81" i="4"/>
  <c r="C135" i="18"/>
  <c r="E135" i="15" s="1"/>
  <c r="C119" i="18"/>
  <c r="E113" i="18" s="1"/>
  <c r="C43" i="19"/>
  <c r="E43" i="19" s="1"/>
  <c r="E37" i="19" s="1"/>
  <c r="E137" i="15"/>
  <c r="E136" i="15"/>
  <c r="E132" i="15"/>
  <c r="E131" i="15"/>
  <c r="G128" i="15"/>
  <c r="G129" i="15"/>
  <c r="E129" i="15"/>
  <c r="E128" i="15"/>
  <c r="E120" i="15"/>
  <c r="E121" i="15"/>
  <c r="E119" i="15"/>
  <c r="E122" i="15"/>
  <c r="C43" i="18"/>
  <c r="E43" i="18" s="1"/>
  <c r="E37" i="18" s="1"/>
  <c r="M128" i="15" l="1"/>
  <c r="N153" i="15"/>
  <c r="N159" i="15"/>
  <c r="M134" i="15"/>
  <c r="N154" i="15"/>
  <c r="M129" i="15"/>
  <c r="E133" i="15"/>
  <c r="E119" i="18"/>
  <c r="G133" i="15" s="1"/>
  <c r="E135" i="18"/>
  <c r="G135" i="15" s="1"/>
  <c r="G123" i="15"/>
  <c r="E123" i="15"/>
  <c r="N158" i="15" l="1"/>
  <c r="M133" i="15"/>
  <c r="N148" i="15"/>
  <c r="M123" i="15"/>
  <c r="N160" i="15"/>
  <c r="M135" i="15"/>
  <c r="C53" i="2"/>
  <c r="C54" i="2" s="1"/>
  <c r="C56" i="2" s="1"/>
  <c r="H97" i="15"/>
  <c r="D97" i="15"/>
  <c r="D96" i="15"/>
  <c r="C192" i="11"/>
  <c r="H96" i="15"/>
  <c r="D95" i="15"/>
  <c r="C184" i="11"/>
  <c r="H95" i="15"/>
  <c r="D94" i="15"/>
  <c r="C178" i="11"/>
  <c r="E95" i="15" s="1"/>
  <c r="H93" i="15"/>
  <c r="D93" i="15"/>
  <c r="D92" i="15"/>
  <c r="H92" i="15"/>
  <c r="H94" i="15"/>
  <c r="F94" i="15"/>
  <c r="C171" i="11"/>
  <c r="C170" i="11"/>
  <c r="C169" i="11"/>
  <c r="C168" i="11"/>
  <c r="C160" i="11"/>
  <c r="C163" i="11" s="1"/>
  <c r="E93" i="15" s="1"/>
  <c r="C159" i="11"/>
  <c r="C150" i="11"/>
  <c r="C149" i="11"/>
  <c r="D90" i="15"/>
  <c r="H90" i="15"/>
  <c r="D89" i="15"/>
  <c r="H89" i="15"/>
  <c r="E117" i="11"/>
  <c r="E119" i="11" s="1"/>
  <c r="G89" i="15" s="1"/>
  <c r="C74" i="5"/>
  <c r="D86" i="15"/>
  <c r="H86" i="15"/>
  <c r="D85" i="15"/>
  <c r="C93" i="11"/>
  <c r="C94" i="11" s="1"/>
  <c r="E89" i="11" s="1"/>
  <c r="E94" i="11" s="1"/>
  <c r="G86" i="15" s="1"/>
  <c r="C92" i="11"/>
  <c r="E85" i="15"/>
  <c r="D83" i="15"/>
  <c r="E86" i="11"/>
  <c r="G85" i="15" s="1"/>
  <c r="E83" i="15"/>
  <c r="D82" i="15"/>
  <c r="E60" i="11"/>
  <c r="G83" i="15" s="1"/>
  <c r="E82" i="15"/>
  <c r="D81" i="15"/>
  <c r="D80" i="15"/>
  <c r="C45" i="11"/>
  <c r="E43" i="11" s="1"/>
  <c r="E45" i="11" s="1"/>
  <c r="G81" i="15" s="1"/>
  <c r="E80" i="15"/>
  <c r="G80" i="15"/>
  <c r="C194" i="11" l="1"/>
  <c r="M87" i="15"/>
  <c r="N112" i="15"/>
  <c r="M89" i="15"/>
  <c r="N114" i="15"/>
  <c r="N113" i="15"/>
  <c r="M88" i="15"/>
  <c r="M85" i="15"/>
  <c r="N110" i="15"/>
  <c r="M86" i="15"/>
  <c r="N111" i="15"/>
  <c r="M81" i="15"/>
  <c r="N106" i="15"/>
  <c r="M83" i="15"/>
  <c r="N108" i="15"/>
  <c r="N105" i="15"/>
  <c r="M80" i="15"/>
  <c r="E163" i="11"/>
  <c r="E156" i="11" s="1"/>
  <c r="C153" i="11"/>
  <c r="E153" i="11" s="1"/>
  <c r="C186" i="11"/>
  <c r="E56" i="2"/>
  <c r="G103" i="15" s="1"/>
  <c r="E103" i="15"/>
  <c r="E86" i="15"/>
  <c r="C128" i="11"/>
  <c r="C129" i="11" s="1"/>
  <c r="E133" i="11" s="1"/>
  <c r="E89" i="15"/>
  <c r="G82" i="15"/>
  <c r="E81" i="15"/>
  <c r="E194" i="11" l="1"/>
  <c r="G97" i="15" s="1"/>
  <c r="E97" i="15"/>
  <c r="M82" i="15"/>
  <c r="N107" i="15"/>
  <c r="N128" i="15"/>
  <c r="M103" i="15"/>
  <c r="G93" i="15"/>
  <c r="E146" i="11"/>
  <c r="G92" i="15"/>
  <c r="E92" i="15"/>
  <c r="E96" i="15"/>
  <c r="E186" i="11"/>
  <c r="G96" i="15" s="1"/>
  <c r="C133" i="11"/>
  <c r="E90" i="15" s="1"/>
  <c r="M97" i="15" l="1"/>
  <c r="N122" i="15"/>
  <c r="M96" i="15"/>
  <c r="N121" i="15"/>
  <c r="N116" i="15"/>
  <c r="M91" i="15"/>
  <c r="N117" i="15"/>
  <c r="M92" i="15"/>
  <c r="N118" i="15"/>
  <c r="M93" i="15"/>
  <c r="G90" i="15"/>
  <c r="C19" i="11"/>
  <c r="H78" i="15"/>
  <c r="H77" i="15"/>
  <c r="E77" i="15"/>
  <c r="D77" i="15"/>
  <c r="D76" i="15"/>
  <c r="C20" i="11"/>
  <c r="E14" i="11"/>
  <c r="G77" i="15" s="1"/>
  <c r="H76" i="15"/>
  <c r="E76" i="15"/>
  <c r="D75" i="15"/>
  <c r="H75" i="15"/>
  <c r="F75" i="15"/>
  <c r="H73" i="15"/>
  <c r="E72" i="15"/>
  <c r="E73" i="15"/>
  <c r="C65" i="5"/>
  <c r="C64" i="5"/>
  <c r="C63" i="5"/>
  <c r="H72" i="15"/>
  <c r="G72" i="15"/>
  <c r="H71" i="15"/>
  <c r="F71" i="15"/>
  <c r="F70" i="15"/>
  <c r="C54" i="5"/>
  <c r="C51" i="5"/>
  <c r="H70" i="15"/>
  <c r="C43" i="5"/>
  <c r="C53" i="5" s="1"/>
  <c r="C41" i="5"/>
  <c r="C40" i="5"/>
  <c r="H74" i="15"/>
  <c r="F74" i="15"/>
  <c r="C215" i="5"/>
  <c r="M72" i="15" l="1"/>
  <c r="N97" i="15"/>
  <c r="N102" i="15"/>
  <c r="M77" i="15"/>
  <c r="N115" i="15"/>
  <c r="M90" i="15"/>
  <c r="C55" i="5"/>
  <c r="C57" i="5" s="1"/>
  <c r="E71" i="15" s="1"/>
  <c r="E7" i="11"/>
  <c r="G76" i="15" s="1"/>
  <c r="E72" i="5"/>
  <c r="E74" i="5" s="1"/>
  <c r="G73" i="15" s="1"/>
  <c r="C42" i="5"/>
  <c r="C45" i="5" s="1"/>
  <c r="E70" i="15" s="1"/>
  <c r="F69" i="15"/>
  <c r="M79" i="15" l="1"/>
  <c r="N104" i="15"/>
  <c r="N98" i="15"/>
  <c r="M73" i="15"/>
  <c r="N101" i="15"/>
  <c r="M76" i="15"/>
  <c r="E45" i="5"/>
  <c r="G70" i="15" s="1"/>
  <c r="N95" i="15" l="1"/>
  <c r="M70" i="15"/>
  <c r="C12" i="19"/>
  <c r="C6" i="19"/>
  <c r="C5" i="19"/>
  <c r="H68" i="15"/>
  <c r="H67" i="15"/>
  <c r="C137" i="19"/>
  <c r="E135" i="19" s="1"/>
  <c r="E137" i="19" s="1"/>
  <c r="G67" i="15" s="1"/>
  <c r="E127" i="19"/>
  <c r="G65" i="15" s="1"/>
  <c r="C136" i="19"/>
  <c r="H66" i="15"/>
  <c r="C132" i="19"/>
  <c r="H65" i="15"/>
  <c r="E62" i="15"/>
  <c r="C123" i="19"/>
  <c r="H64" i="15"/>
  <c r="C119" i="19"/>
  <c r="E113" i="19" s="1"/>
  <c r="C114" i="19"/>
  <c r="C52" i="19"/>
  <c r="H63" i="15"/>
  <c r="C110" i="19"/>
  <c r="C109" i="19"/>
  <c r="H62" i="15"/>
  <c r="C104" i="19"/>
  <c r="H61" i="15"/>
  <c r="C100" i="19"/>
  <c r="E98" i="19" s="1"/>
  <c r="E100" i="19" s="1"/>
  <c r="G61" i="15" s="1"/>
  <c r="C99" i="19"/>
  <c r="H60" i="15"/>
  <c r="H59" i="15"/>
  <c r="E85" i="19"/>
  <c r="D90" i="19"/>
  <c r="D91" i="19" s="1"/>
  <c r="D92" i="19" s="1"/>
  <c r="C86" i="19"/>
  <c r="E82" i="19"/>
  <c r="E76" i="19" s="1"/>
  <c r="D80" i="19"/>
  <c r="D79" i="19" s="1"/>
  <c r="C77" i="19"/>
  <c r="H58" i="15"/>
  <c r="C71" i="19"/>
  <c r="C70" i="19"/>
  <c r="H57" i="15"/>
  <c r="C64" i="19"/>
  <c r="E57" i="15" s="1"/>
  <c r="H56" i="15"/>
  <c r="H55" i="15"/>
  <c r="H54" i="15"/>
  <c r="C48" i="19"/>
  <c r="E46" i="19" s="1"/>
  <c r="E48" i="19" s="1"/>
  <c r="G55" i="15" s="1"/>
  <c r="C47" i="19"/>
  <c r="H53" i="15"/>
  <c r="H52" i="15"/>
  <c r="H51" i="15"/>
  <c r="H50" i="15"/>
  <c r="H49" i="15"/>
  <c r="H48" i="15"/>
  <c r="C34" i="19"/>
  <c r="E32" i="19" s="1"/>
  <c r="E34" i="19" s="1"/>
  <c r="G53" i="15" s="1"/>
  <c r="C33" i="19"/>
  <c r="C29" i="19"/>
  <c r="E27" i="19" s="1"/>
  <c r="E29" i="19" s="1"/>
  <c r="G52" i="15" s="1"/>
  <c r="C28" i="19"/>
  <c r="C23" i="19"/>
  <c r="C24" i="19"/>
  <c r="E22" i="19" s="1"/>
  <c r="E24" i="19" s="1"/>
  <c r="G51" i="15" s="1"/>
  <c r="N77" i="15" l="1"/>
  <c r="M52" i="15"/>
  <c r="M65" i="15"/>
  <c r="N90" i="15"/>
  <c r="M67" i="15"/>
  <c r="N92" i="15"/>
  <c r="N76" i="15"/>
  <c r="M51" i="15"/>
  <c r="N78" i="15"/>
  <c r="M53" i="15"/>
  <c r="N80" i="15"/>
  <c r="M55" i="15"/>
  <c r="N86" i="15"/>
  <c r="M61" i="15"/>
  <c r="E64" i="15"/>
  <c r="E56" i="15"/>
  <c r="E59" i="19"/>
  <c r="E66" i="15"/>
  <c r="E130" i="19"/>
  <c r="E108" i="19"/>
  <c r="E110" i="19" s="1"/>
  <c r="G63" i="15" s="1"/>
  <c r="G68" i="15"/>
  <c r="E68" i="15"/>
  <c r="E63" i="15"/>
  <c r="E67" i="15"/>
  <c r="E65" i="15"/>
  <c r="E119" i="19"/>
  <c r="G64" i="15" s="1"/>
  <c r="E61" i="15"/>
  <c r="E103" i="19"/>
  <c r="E105" i="19" s="1"/>
  <c r="G62" i="15" s="1"/>
  <c r="G60" i="15"/>
  <c r="G59" i="15"/>
  <c r="E55" i="15"/>
  <c r="E53" i="15"/>
  <c r="E52" i="15"/>
  <c r="E51" i="15"/>
  <c r="M68" i="15" l="1"/>
  <c r="N93" i="15"/>
  <c r="N87" i="15"/>
  <c r="M62" i="15"/>
  <c r="M64" i="15"/>
  <c r="N89" i="15"/>
  <c r="N84" i="15"/>
  <c r="M59" i="15"/>
  <c r="N85" i="15"/>
  <c r="M60" i="15"/>
  <c r="N88" i="15"/>
  <c r="M63" i="15"/>
  <c r="E54" i="15"/>
  <c r="G54" i="15"/>
  <c r="N79" i="15" l="1"/>
  <c r="M54" i="15"/>
  <c r="K158" i="15"/>
  <c r="K150" i="15"/>
  <c r="K139" i="15"/>
  <c r="K117" i="15"/>
  <c r="K105" i="15"/>
  <c r="K76" i="15"/>
  <c r="K98" i="15"/>
  <c r="K69" i="15"/>
  <c r="K48" i="15"/>
  <c r="E15" i="19" l="1"/>
  <c r="E19" i="19" s="1"/>
  <c r="G50" i="15" s="1"/>
  <c r="E50" i="15"/>
  <c r="C149" i="15"/>
  <c r="C75" i="15"/>
  <c r="C146" i="15"/>
  <c r="C145" i="15"/>
  <c r="D74" i="15"/>
  <c r="C74" i="15"/>
  <c r="F264" i="14"/>
  <c r="F58" i="14"/>
  <c r="F262" i="14"/>
  <c r="F56" i="14"/>
  <c r="F55" i="14"/>
  <c r="F54" i="14"/>
  <c r="F260" i="14"/>
  <c r="F259" i="14"/>
  <c r="C118" i="15"/>
  <c r="C117" i="15"/>
  <c r="C12" i="18"/>
  <c r="C6" i="18"/>
  <c r="C5" i="18"/>
  <c r="C11" i="18"/>
  <c r="C4" i="18"/>
  <c r="D49" i="15"/>
  <c r="C49" i="15"/>
  <c r="D48" i="15"/>
  <c r="C48" i="15"/>
  <c r="C11" i="19"/>
  <c r="C4" i="19"/>
  <c r="N75" i="15" l="1"/>
  <c r="M50" i="15"/>
  <c r="E10" i="18"/>
  <c r="E12" i="18" s="1"/>
  <c r="G118" i="15" s="1"/>
  <c r="E118" i="15"/>
  <c r="E10" i="19"/>
  <c r="E12" i="19" s="1"/>
  <c r="G49" i="15" s="1"/>
  <c r="E49" i="15"/>
  <c r="C7" i="18"/>
  <c r="E117" i="15" s="1"/>
  <c r="C7" i="19"/>
  <c r="E48" i="15" s="1"/>
  <c r="C38" i="26"/>
  <c r="F52" i="26"/>
  <c r="F54" i="26" s="1"/>
  <c r="E52" i="26"/>
  <c r="E54" i="26" s="1"/>
  <c r="D52" i="26"/>
  <c r="D54" i="26" s="1"/>
  <c r="C52" i="26"/>
  <c r="C54" i="26" s="1"/>
  <c r="F45" i="26"/>
  <c r="F47" i="26" s="1"/>
  <c r="E45" i="26"/>
  <c r="E47" i="26" s="1"/>
  <c r="D45" i="26"/>
  <c r="D47" i="26" s="1"/>
  <c r="C45" i="26"/>
  <c r="C47" i="26" s="1"/>
  <c r="F63" i="26"/>
  <c r="F64" i="26"/>
  <c r="H60" i="26" s="1"/>
  <c r="H64" i="26" s="1"/>
  <c r="M118" i="15" l="1"/>
  <c r="N143" i="15"/>
  <c r="M49" i="15"/>
  <c r="N74" i="15"/>
  <c r="E7" i="18"/>
  <c r="G117" i="15" s="1"/>
  <c r="E3" i="19"/>
  <c r="E7" i="19" s="1"/>
  <c r="G48" i="15" s="1"/>
  <c r="C270" i="5"/>
  <c r="C269" i="5"/>
  <c r="C264" i="5"/>
  <c r="C263" i="5"/>
  <c r="C275" i="5"/>
  <c r="C278" i="5"/>
  <c r="C279" i="5"/>
  <c r="C282" i="5"/>
  <c r="C283" i="5"/>
  <c r="C147" i="5"/>
  <c r="C146" i="5"/>
  <c r="C140" i="5"/>
  <c r="C139" i="5"/>
  <c r="M48" i="15" l="1"/>
  <c r="N73" i="15"/>
  <c r="M117" i="15"/>
  <c r="N142" i="15"/>
  <c r="C142" i="5"/>
  <c r="C272" i="5"/>
  <c r="C265" i="5"/>
  <c r="C149" i="5"/>
  <c r="C280" i="5"/>
  <c r="C157" i="5" s="1"/>
  <c r="C284" i="5"/>
  <c r="C161" i="5" s="1"/>
  <c r="C273" i="5" l="1"/>
  <c r="C276" i="5" s="1"/>
  <c r="C150" i="5"/>
  <c r="B11" i="30" s="1"/>
  <c r="C67" i="4"/>
  <c r="C231" i="5" l="1"/>
  <c r="C235" i="5"/>
  <c r="C239" i="5"/>
  <c r="C260" i="5"/>
  <c r="C259" i="5"/>
  <c r="C258" i="5"/>
  <c r="C255" i="5"/>
  <c r="C254" i="5"/>
  <c r="C253" i="5"/>
  <c r="C250" i="5"/>
  <c r="C247" i="5"/>
  <c r="C246" i="5"/>
  <c r="C243" i="5"/>
  <c r="C242" i="5"/>
  <c r="C238" i="5"/>
  <c r="C234" i="5"/>
  <c r="C230" i="5"/>
  <c r="C227" i="5"/>
  <c r="C226" i="5"/>
  <c r="C240" i="5" l="1"/>
  <c r="C232" i="5"/>
  <c r="C244" i="5"/>
  <c r="C228" i="5"/>
  <c r="C236" i="5"/>
  <c r="C261" i="5"/>
  <c r="C256" i="5"/>
  <c r="C248" i="5"/>
  <c r="C251" i="5"/>
  <c r="C286" i="5" l="1"/>
  <c r="C240" i="4"/>
  <c r="C383" i="4"/>
  <c r="C374" i="4"/>
  <c r="C375" i="4"/>
  <c r="C373" i="4"/>
  <c r="C368" i="4"/>
  <c r="C348" i="4"/>
  <c r="C334" i="4"/>
  <c r="C331" i="4"/>
  <c r="C311" i="4"/>
  <c r="C305" i="4"/>
  <c r="C299" i="4"/>
  <c r="C293" i="4"/>
  <c r="C287" i="4"/>
  <c r="C281" i="4"/>
  <c r="C270" i="4"/>
  <c r="C269" i="4"/>
  <c r="C265" i="4"/>
  <c r="C264" i="4"/>
  <c r="C260" i="4"/>
  <c r="C259" i="4"/>
  <c r="C258" i="4"/>
  <c r="C255" i="4"/>
  <c r="C250" i="4"/>
  <c r="C236" i="4"/>
  <c r="C239" i="4"/>
  <c r="C232" i="4"/>
  <c r="C231" i="4"/>
  <c r="C229" i="4"/>
  <c r="C226" i="4"/>
  <c r="C225" i="4"/>
  <c r="C222" i="4"/>
  <c r="C214" i="4"/>
  <c r="C208" i="4"/>
  <c r="C207" i="4"/>
  <c r="C6" i="4"/>
  <c r="E415" i="4" s="1"/>
  <c r="C76" i="11"/>
  <c r="E23" i="4"/>
  <c r="G140" i="15" s="1"/>
  <c r="N165" i="15" l="1"/>
  <c r="M140" i="15"/>
  <c r="C8" i="4"/>
  <c r="C11" i="4" s="1"/>
  <c r="E11" i="4" s="1"/>
  <c r="G139" i="15" s="1"/>
  <c r="G148" i="15"/>
  <c r="C384" i="4"/>
  <c r="E57" i="5"/>
  <c r="G71" i="15" s="1"/>
  <c r="C287" i="5"/>
  <c r="C289" i="5" s="1"/>
  <c r="E75" i="15" s="1"/>
  <c r="C279" i="4"/>
  <c r="C280" i="4" s="1"/>
  <c r="C303" i="4"/>
  <c r="C304" i="4" s="1"/>
  <c r="C297" i="4"/>
  <c r="C298" i="4" s="1"/>
  <c r="C291" i="4"/>
  <c r="C425" i="4"/>
  <c r="C309" i="4"/>
  <c r="C310" i="4" s="1"/>
  <c r="C285" i="4"/>
  <c r="C286" i="4" s="1"/>
  <c r="C211" i="4"/>
  <c r="C121" i="4" s="1"/>
  <c r="C376" i="4"/>
  <c r="D376" i="4"/>
  <c r="C371" i="4"/>
  <c r="C356" i="4"/>
  <c r="C357" i="4" s="1"/>
  <c r="C358" i="4" s="1"/>
  <c r="E346" i="4"/>
  <c r="C349" i="4"/>
  <c r="C325" i="4"/>
  <c r="C312" i="4"/>
  <c r="C306" i="4"/>
  <c r="C300" i="4"/>
  <c r="C294" i="4"/>
  <c r="C288" i="4"/>
  <c r="C282" i="4"/>
  <c r="C266" i="4"/>
  <c r="C256" i="4"/>
  <c r="C254" i="4"/>
  <c r="C251" i="4"/>
  <c r="C241" i="4"/>
  <c r="C136" i="4" s="1"/>
  <c r="C233" i="4"/>
  <c r="C107" i="4" s="1"/>
  <c r="C227" i="4"/>
  <c r="C221" i="4"/>
  <c r="C217" i="4"/>
  <c r="C215" i="4"/>
  <c r="C209" i="4"/>
  <c r="N96" i="15" l="1"/>
  <c r="M71" i="15"/>
  <c r="N173" i="15"/>
  <c r="M148" i="15"/>
  <c r="N164" i="15"/>
  <c r="M139" i="15"/>
  <c r="E139" i="15"/>
  <c r="C223" i="4"/>
  <c r="C117" i="4"/>
  <c r="C378" i="4"/>
  <c r="C170" i="4" s="1"/>
  <c r="C362" i="4"/>
  <c r="E289" i="5"/>
  <c r="G75" i="15" s="1"/>
  <c r="C193" i="4"/>
  <c r="C180" i="4" s="1"/>
  <c r="C350" i="4"/>
  <c r="C160" i="4"/>
  <c r="C426" i="4"/>
  <c r="C427" i="4" s="1"/>
  <c r="C165" i="4"/>
  <c r="C292" i="4"/>
  <c r="D371" i="4"/>
  <c r="C332" i="4"/>
  <c r="C336" i="4" s="1"/>
  <c r="C337" i="4" s="1"/>
  <c r="D373" i="4"/>
  <c r="C237" i="4"/>
  <c r="C271" i="4"/>
  <c r="C261" i="4"/>
  <c r="C314" i="4"/>
  <c r="C315" i="4" s="1"/>
  <c r="C249" i="4"/>
  <c r="N100" i="15" l="1"/>
  <c r="M75" i="15"/>
  <c r="C243" i="4"/>
  <c r="C244" i="4" s="1"/>
  <c r="C273" i="4"/>
  <c r="C274" i="4" s="1"/>
  <c r="C420" i="4"/>
  <c r="C7" i="21"/>
  <c r="C339" i="4" l="1"/>
  <c r="C341" i="4"/>
  <c r="C144" i="4" s="1"/>
  <c r="C343" i="4" l="1"/>
  <c r="C422" i="4" s="1"/>
  <c r="C344" i="4" l="1"/>
  <c r="C360" i="4"/>
  <c r="C364" i="4" s="1"/>
  <c r="C109" i="5" l="1"/>
  <c r="C122" i="5" s="1"/>
  <c r="C154" i="5"/>
  <c r="C175" i="4"/>
  <c r="C162" i="5"/>
  <c r="C113" i="5"/>
  <c r="C123" i="5" s="1"/>
  <c r="C105" i="5"/>
  <c r="C101" i="5"/>
  <c r="C120" i="5" s="1"/>
  <c r="D204" i="5"/>
  <c r="C204" i="5"/>
  <c r="C152" i="5"/>
  <c r="C97" i="5"/>
  <c r="C92" i="5"/>
  <c r="C88" i="5"/>
  <c r="C117" i="5" s="1"/>
  <c r="C83" i="5"/>
  <c r="A1" i="15"/>
  <c r="C108" i="4"/>
  <c r="C199" i="5"/>
  <c r="C197" i="5"/>
  <c r="C194" i="5"/>
  <c r="C193" i="5"/>
  <c r="C192" i="5"/>
  <c r="C190" i="5"/>
  <c r="C189" i="5"/>
  <c r="C186" i="5"/>
  <c r="C185" i="5"/>
  <c r="C184" i="5"/>
  <c r="C176" i="5"/>
  <c r="C175" i="5"/>
  <c r="C174" i="5"/>
  <c r="C173" i="5"/>
  <c r="C153" i="5"/>
  <c r="C136" i="5"/>
  <c r="C130" i="5"/>
  <c r="C129" i="5"/>
  <c r="C127" i="5"/>
  <c r="C128" i="5" s="1"/>
  <c r="C124" i="5"/>
  <c r="C112" i="5"/>
  <c r="C108" i="5"/>
  <c r="C104" i="5"/>
  <c r="C100" i="5"/>
  <c r="C91" i="5"/>
  <c r="C87" i="5"/>
  <c r="C84" i="5"/>
  <c r="C82" i="5"/>
  <c r="C188" i="4"/>
  <c r="C187" i="4"/>
  <c r="C151" i="4"/>
  <c r="C145" i="4"/>
  <c r="C140" i="4"/>
  <c r="C137" i="4"/>
  <c r="C127" i="4"/>
  <c r="C126" i="4"/>
  <c r="C118" i="4"/>
  <c r="C114" i="4"/>
  <c r="C109" i="4"/>
  <c r="C102" i="4"/>
  <c r="C101" i="4"/>
  <c r="C100" i="4"/>
  <c r="C99" i="4"/>
  <c r="C133" i="5"/>
  <c r="F2" i="15"/>
  <c r="B53" i="27"/>
  <c r="C96" i="5" s="1"/>
  <c r="B52" i="27"/>
  <c r="C95" i="5" s="1"/>
  <c r="F11" i="14"/>
  <c r="C135" i="5"/>
  <c r="C158" i="5"/>
  <c r="C165" i="5"/>
  <c r="C8" i="5"/>
  <c r="C9" i="5"/>
  <c r="C10" i="5"/>
  <c r="C13" i="5"/>
  <c r="C14" i="5"/>
  <c r="C15" i="5"/>
  <c r="C169" i="5"/>
  <c r="C170" i="5"/>
  <c r="C171" i="5" s="1"/>
  <c r="C200" i="5"/>
  <c r="C201" i="5"/>
  <c r="C208" i="5"/>
  <c r="C5" i="26"/>
  <c r="C6" i="26"/>
  <c r="F8" i="26"/>
  <c r="E8" i="26"/>
  <c r="F23" i="26"/>
  <c r="F25" i="26" s="1"/>
  <c r="E23" i="26"/>
  <c r="E25" i="26" s="1"/>
  <c r="D23" i="26"/>
  <c r="D25" i="26" s="1"/>
  <c r="C23" i="26"/>
  <c r="C25" i="26" s="1"/>
  <c r="F16" i="26"/>
  <c r="F18" i="26" s="1"/>
  <c r="E16" i="26"/>
  <c r="E18" i="26" s="1"/>
  <c r="D16" i="26"/>
  <c r="D18" i="26" s="1"/>
  <c r="C16" i="26"/>
  <c r="C18" i="26" s="1"/>
  <c r="H106" i="15"/>
  <c r="C24" i="5"/>
  <c r="C31" i="5"/>
  <c r="D106" i="15"/>
  <c r="L38" i="15"/>
  <c r="K38" i="15"/>
  <c r="C24" i="16"/>
  <c r="D59" i="19"/>
  <c r="C32" i="5"/>
  <c r="C29" i="5"/>
  <c r="C25" i="5"/>
  <c r="C70" i="11"/>
  <c r="C69" i="11"/>
  <c r="C23" i="5"/>
  <c r="C130" i="18"/>
  <c r="E178" i="11"/>
  <c r="C63" i="19"/>
  <c r="E64" i="18"/>
  <c r="G126" i="15" s="1"/>
  <c r="C63" i="18"/>
  <c r="C52" i="18"/>
  <c r="D70" i="19"/>
  <c r="D71" i="19" s="1"/>
  <c r="D70" i="18"/>
  <c r="D71" i="18" s="1"/>
  <c r="C99" i="18"/>
  <c r="C176" i="4"/>
  <c r="C91" i="4"/>
  <c r="C72" i="4"/>
  <c r="C68" i="4"/>
  <c r="C64" i="4"/>
  <c r="E83" i="4" s="1"/>
  <c r="G144" i="15" s="1"/>
  <c r="C63" i="4"/>
  <c r="C42" i="4"/>
  <c r="C4" i="21"/>
  <c r="C68" i="19"/>
  <c r="C131" i="19"/>
  <c r="C47" i="18"/>
  <c r="C68" i="18"/>
  <c r="C9" i="16"/>
  <c r="C38" i="4"/>
  <c r="C28" i="4"/>
  <c r="C2" i="15"/>
  <c r="C134" i="4"/>
  <c r="F350" i="14"/>
  <c r="F349" i="14"/>
  <c r="F354" i="14"/>
  <c r="F351" i="14"/>
  <c r="F353" i="14"/>
  <c r="C6" i="21"/>
  <c r="C9" i="21" s="1"/>
  <c r="E9" i="21" s="1"/>
  <c r="E3" i="21" s="1"/>
  <c r="E132" i="19"/>
  <c r="G66" i="15" s="1"/>
  <c r="E48" i="18"/>
  <c r="G124" i="15" s="1"/>
  <c r="E100" i="18"/>
  <c r="G130" i="15" s="1"/>
  <c r="F381" i="14"/>
  <c r="E106" i="15"/>
  <c r="C203" i="5"/>
  <c r="C31" i="4"/>
  <c r="C32" i="4" s="1"/>
  <c r="C30" i="4"/>
  <c r="C54" i="4"/>
  <c r="C55" i="4" s="1"/>
  <c r="C51" i="4"/>
  <c r="C52" i="4" s="1"/>
  <c r="D37" i="12"/>
  <c r="D20" i="12"/>
  <c r="D62" i="12"/>
  <c r="D61" i="12"/>
  <c r="D58" i="12"/>
  <c r="D57" i="12"/>
  <c r="D56" i="12"/>
  <c r="D55" i="12"/>
  <c r="D54" i="12"/>
  <c r="D53" i="12"/>
  <c r="D52" i="12"/>
  <c r="D51" i="12"/>
  <c r="D48" i="12"/>
  <c r="D45" i="12"/>
  <c r="D44" i="12"/>
  <c r="D43" i="12"/>
  <c r="D42" i="12"/>
  <c r="D41" i="12"/>
  <c r="D38" i="12"/>
  <c r="D36" i="12"/>
  <c r="D35" i="12"/>
  <c r="D34" i="12"/>
  <c r="D31" i="12"/>
  <c r="D30" i="12"/>
  <c r="D29" i="12"/>
  <c r="D28" i="12"/>
  <c r="D25" i="12"/>
  <c r="D21" i="12"/>
  <c r="D23" i="12" s="1"/>
  <c r="D22" i="12"/>
  <c r="D16" i="12"/>
  <c r="D19" i="12"/>
  <c r="D15" i="12"/>
  <c r="D14" i="12"/>
  <c r="D12" i="12"/>
  <c r="D11" i="12"/>
  <c r="D8" i="12"/>
  <c r="D9" i="12"/>
  <c r="D10" i="12"/>
  <c r="D7" i="12"/>
  <c r="D24" i="12"/>
  <c r="N169" i="15" l="1"/>
  <c r="M144" i="15"/>
  <c r="N155" i="15"/>
  <c r="M130" i="15"/>
  <c r="N149" i="15"/>
  <c r="M124" i="15"/>
  <c r="N91" i="15"/>
  <c r="M66" i="15"/>
  <c r="N151" i="15"/>
  <c r="M126" i="15"/>
  <c r="G102" i="15"/>
  <c r="C190" i="4"/>
  <c r="C77" i="11"/>
  <c r="C142" i="4"/>
  <c r="B30" i="30" s="1"/>
  <c r="C195" i="5"/>
  <c r="B16" i="30" s="1"/>
  <c r="C34" i="4"/>
  <c r="E141" i="15" s="1"/>
  <c r="G95" i="15"/>
  <c r="C11" i="5"/>
  <c r="G24" i="30"/>
  <c r="B7" i="30"/>
  <c r="C116" i="5"/>
  <c r="G21" i="30"/>
  <c r="B6" i="30"/>
  <c r="F55" i="26"/>
  <c r="C55" i="26"/>
  <c r="E55" i="26"/>
  <c r="D55" i="26"/>
  <c r="C7" i="26"/>
  <c r="C8" i="26" s="1"/>
  <c r="D26" i="26"/>
  <c r="E26" i="26"/>
  <c r="F26" i="26"/>
  <c r="C26" i="26"/>
  <c r="C205" i="5"/>
  <c r="C166" i="5"/>
  <c r="C128" i="4"/>
  <c r="B28" i="30" s="1"/>
  <c r="C110" i="4"/>
  <c r="B25" i="30" s="1"/>
  <c r="C103" i="4"/>
  <c r="C93" i="5"/>
  <c r="G23" i="30" s="1"/>
  <c r="C155" i="5"/>
  <c r="B12" i="30" s="1"/>
  <c r="C110" i="5"/>
  <c r="G27" i="30" s="1"/>
  <c r="C48" i="4"/>
  <c r="C49" i="4" s="1"/>
  <c r="C56" i="4" s="1"/>
  <c r="E10" i="16"/>
  <c r="G106" i="15" s="1"/>
  <c r="C73" i="18"/>
  <c r="E127" i="15" s="1"/>
  <c r="G125" i="15"/>
  <c r="C73" i="19"/>
  <c r="E58" i="15" s="1"/>
  <c r="C21" i="11"/>
  <c r="C16" i="5"/>
  <c r="C132" i="4"/>
  <c r="G30" i="30" s="1"/>
  <c r="E64" i="19"/>
  <c r="G57" i="15" s="1"/>
  <c r="E125" i="15"/>
  <c r="C118" i="5"/>
  <c r="C163" i="5"/>
  <c r="G7" i="30" s="1"/>
  <c r="C70" i="4"/>
  <c r="G56" i="15"/>
  <c r="C73" i="4"/>
  <c r="C173" i="11"/>
  <c r="E94" i="15" s="1"/>
  <c r="C124" i="4"/>
  <c r="G14" i="30" s="1"/>
  <c r="C138" i="4"/>
  <c r="B29" i="30" s="1"/>
  <c r="C159" i="5"/>
  <c r="G8" i="30" s="1"/>
  <c r="C26" i="5"/>
  <c r="C21" i="5"/>
  <c r="H69" i="15" s="1"/>
  <c r="C33" i="5"/>
  <c r="E33" i="5" s="1"/>
  <c r="C137" i="5"/>
  <c r="B10" i="30" s="1"/>
  <c r="C134" i="5"/>
  <c r="C131" i="5"/>
  <c r="B9" i="30" s="1"/>
  <c r="C191" i="5"/>
  <c r="C198" i="5"/>
  <c r="C106" i="5"/>
  <c r="G26" i="30" s="1"/>
  <c r="C102" i="5"/>
  <c r="G25" i="30" s="1"/>
  <c r="C177" i="5"/>
  <c r="C85" i="5"/>
  <c r="C89" i="5"/>
  <c r="G22" i="30" s="1"/>
  <c r="C97" i="4"/>
  <c r="C92" i="4"/>
  <c r="C206" i="5"/>
  <c r="B17" i="30" s="1"/>
  <c r="C121" i="5"/>
  <c r="C172" i="5"/>
  <c r="C114" i="5"/>
  <c r="G28" i="30" s="1"/>
  <c r="C115" i="4"/>
  <c r="B26" i="30" s="1"/>
  <c r="C162" i="4"/>
  <c r="C166" i="4" s="1"/>
  <c r="C119" i="5"/>
  <c r="C98" i="5"/>
  <c r="C43" i="4"/>
  <c r="C44" i="4" s="1"/>
  <c r="M107" i="15" l="1"/>
  <c r="N132" i="15"/>
  <c r="M38" i="15"/>
  <c r="N63" i="15"/>
  <c r="M105" i="15"/>
  <c r="N130" i="15"/>
  <c r="M106" i="15"/>
  <c r="N131" i="15"/>
  <c r="N81" i="15"/>
  <c r="M56" i="15"/>
  <c r="N82" i="15"/>
  <c r="M57" i="15"/>
  <c r="N150" i="15"/>
  <c r="M125" i="15"/>
  <c r="N120" i="15"/>
  <c r="M95" i="15"/>
  <c r="N127" i="15"/>
  <c r="M102" i="15"/>
  <c r="E79" i="11"/>
  <c r="G84" i="15" s="1"/>
  <c r="C79" i="11"/>
  <c r="E84" i="15" s="1"/>
  <c r="E34" i="4"/>
  <c r="G141" i="15" s="1"/>
  <c r="C34" i="5"/>
  <c r="E69" i="15" s="1"/>
  <c r="E26" i="5"/>
  <c r="E34" i="5" s="1"/>
  <c r="G16" i="30"/>
  <c r="D45" i="30" s="1"/>
  <c r="C18" i="5"/>
  <c r="C202" i="5" s="1"/>
  <c r="C180" i="5"/>
  <c r="C181" i="5" s="1"/>
  <c r="E78" i="15"/>
  <c r="E21" i="11"/>
  <c r="G78" i="15" s="1"/>
  <c r="E73" i="19"/>
  <c r="G58" i="15" s="1"/>
  <c r="G17" i="30"/>
  <c r="G18" i="30" s="1"/>
  <c r="L5" i="30" s="1"/>
  <c r="C56" i="26"/>
  <c r="C214" i="5" s="1"/>
  <c r="C191" i="4"/>
  <c r="C179" i="4" s="1"/>
  <c r="C9" i="26"/>
  <c r="C28" i="26" s="1"/>
  <c r="C168" i="5"/>
  <c r="C178" i="5" s="1"/>
  <c r="B14" i="30" s="1"/>
  <c r="E73" i="18"/>
  <c r="G127" i="15" s="1"/>
  <c r="C163" i="4"/>
  <c r="C76" i="4"/>
  <c r="C78" i="4" s="1"/>
  <c r="E143" i="15" s="1"/>
  <c r="C167" i="4"/>
  <c r="C57" i="4"/>
  <c r="E57" i="4" s="1"/>
  <c r="E62" i="19"/>
  <c r="E173" i="11"/>
  <c r="G94" i="15" s="1"/>
  <c r="C119" i="4"/>
  <c r="B27" i="30" s="1"/>
  <c r="C125" i="5"/>
  <c r="G29" i="30" s="1"/>
  <c r="C182" i="5"/>
  <c r="C105" i="4"/>
  <c r="B24" i="30" s="1"/>
  <c r="N119" i="15" l="1"/>
  <c r="M94" i="15"/>
  <c r="N152" i="15"/>
  <c r="M127" i="15"/>
  <c r="N83" i="15"/>
  <c r="M58" i="15"/>
  <c r="N103" i="15"/>
  <c r="M78" i="15"/>
  <c r="N166" i="15"/>
  <c r="M141" i="15"/>
  <c r="N109" i="15"/>
  <c r="M84" i="15"/>
  <c r="C167" i="5"/>
  <c r="C183" i="5"/>
  <c r="E142" i="15"/>
  <c r="C187" i="5"/>
  <c r="B15" i="30" s="1"/>
  <c r="I48" i="30"/>
  <c r="G32" i="30"/>
  <c r="G69" i="15"/>
  <c r="E67" i="19"/>
  <c r="C29" i="26"/>
  <c r="C30" i="26" s="1"/>
  <c r="C31" i="26" s="1"/>
  <c r="D28" i="26"/>
  <c r="D29" i="26" s="1"/>
  <c r="D30" i="26" s="1"/>
  <c r="D31" i="26" s="1"/>
  <c r="E28" i="26"/>
  <c r="F28" i="26"/>
  <c r="C421" i="4"/>
  <c r="C423" i="4" s="1"/>
  <c r="E78" i="4"/>
  <c r="G143" i="15" s="1"/>
  <c r="C146" i="4"/>
  <c r="G31" i="30" s="1"/>
  <c r="G35" i="30" s="1"/>
  <c r="G36" i="30" s="1"/>
  <c r="G142" i="15"/>
  <c r="C152" i="4"/>
  <c r="N167" i="15" l="1"/>
  <c r="M142" i="15"/>
  <c r="N168" i="15"/>
  <c r="M143" i="15"/>
  <c r="N94" i="15"/>
  <c r="M69" i="15"/>
  <c r="B8" i="30"/>
  <c r="B18" i="30" s="1"/>
  <c r="B19" i="30" s="1"/>
  <c r="C155" i="4"/>
  <c r="C211" i="5"/>
  <c r="I45" i="30" s="1"/>
  <c r="L6" i="30"/>
  <c r="G34" i="30"/>
  <c r="D46" i="30" s="1"/>
  <c r="I46" i="30"/>
  <c r="C148" i="4"/>
  <c r="C156" i="4" s="1"/>
  <c r="B34" i="30"/>
  <c r="F29" i="26"/>
  <c r="F30" i="26" s="1"/>
  <c r="F31" i="26" s="1"/>
  <c r="E29" i="26"/>
  <c r="E30" i="26" s="1"/>
  <c r="E31" i="26" s="1"/>
  <c r="C429" i="4"/>
  <c r="E149" i="15" s="1"/>
  <c r="C366" i="4"/>
  <c r="C379" i="4" s="1"/>
  <c r="C381" i="4" s="1"/>
  <c r="C386" i="4" s="1"/>
  <c r="E147" i="15" s="1"/>
  <c r="E60" i="4"/>
  <c r="J262" i="15"/>
  <c r="B32" i="30" l="1"/>
  <c r="D44" i="30" s="1"/>
  <c r="D48" i="30" s="1"/>
  <c r="C212" i="5"/>
  <c r="C154" i="4" s="1"/>
  <c r="I47" i="30"/>
  <c r="I49" i="30" s="1"/>
  <c r="E429" i="4"/>
  <c r="G149" i="15" s="1"/>
  <c r="C32" i="26"/>
  <c r="C216" i="5" s="1"/>
  <c r="C218" i="5" s="1"/>
  <c r="E386" i="4"/>
  <c r="G147" i="15" s="1"/>
  <c r="J263" i="15"/>
  <c r="N172" i="15" l="1"/>
  <c r="M147" i="15"/>
  <c r="N174" i="15"/>
  <c r="M149" i="15"/>
  <c r="C220" i="5"/>
  <c r="E74" i="15" s="1"/>
  <c r="C158" i="4"/>
  <c r="C169" i="4" s="1"/>
  <c r="C171" i="4" s="1"/>
  <c r="C172" i="4" s="1"/>
  <c r="M48" i="30"/>
  <c r="H32" i="26"/>
  <c r="H3" i="26" s="1"/>
  <c r="B20" i="30"/>
  <c r="B21" i="30" s="1"/>
  <c r="B36" i="30" s="1"/>
  <c r="B37" i="30" s="1"/>
  <c r="F40" i="30" s="1"/>
  <c r="E220" i="5" l="1"/>
  <c r="G74" i="15" s="1"/>
  <c r="I40" i="30"/>
  <c r="I41" i="30" s="1"/>
  <c r="C173" i="4"/>
  <c r="C196" i="4" s="1"/>
  <c r="C200" i="4" s="1"/>
  <c r="E146" i="15" s="1"/>
  <c r="B38" i="30"/>
  <c r="N99" i="15" l="1"/>
  <c r="D17" i="15"/>
  <c r="M74" i="15"/>
  <c r="D13" i="15"/>
  <c r="L4" i="30"/>
  <c r="F41" i="30"/>
  <c r="C177" i="4"/>
  <c r="C181" i="4" s="1"/>
  <c r="E200" i="4"/>
  <c r="G146" i="15" s="1"/>
  <c r="N171" i="15" l="1"/>
  <c r="M146" i="15"/>
  <c r="E145" i="15"/>
  <c r="E181" i="4"/>
  <c r="G145" i="15" s="1"/>
  <c r="C195" i="4"/>
  <c r="C198" i="4" s="1"/>
  <c r="D18" i="15" l="1"/>
  <c r="D8" i="15"/>
  <c r="N170" i="15"/>
  <c r="D19" i="15" s="1"/>
  <c r="M145" i="15"/>
  <c r="D14" i="15" s="1"/>
  <c r="F6" i="15" l="1"/>
  <c r="Q229" i="15"/>
  <c r="F9" i="15" l="1"/>
  <c r="F30" i="15"/>
  <c r="F3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tc={F5DD0833-6242-4570-AFBE-21EA6944772A}</author>
  </authors>
  <commentList>
    <comment ref="F23" authorId="0" shapeId="0" xr:uid="{F5DD0833-6242-4570-AFBE-21EA6944772A}">
      <text>
        <t>[Threaded comment]
Your version of Excel allows you to read this threaded comment; however, any edits to it will get removed if the file is opened in a newer version of Excel. Learn more: https://go.microsoft.com/fwlink/?linkid=870924
Comment:
    @Chen-Wei Chang D19&gt;=20 will give a true as answer - should we rather put "COMPLIANT". Maybe you can explain me i might miss a point
Reply:
    @Chen-Wei Chang  i changed to if F18=0, "COMPLIANT" - the overall formula line 26 is checking if F20="COMPLIANT" if we leave true that wouldn't work
Reply:
    @Nicolas Viart Please look at text book right hand side, (In the first year of certification the operators must show the development of a TBIP + that 20% of indicators in P5 have been met.) So I suppose the first comment you made can demonstrate the criteria.</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tc={F6431ED9-F18F-441C-89F1-FF82F1C5F024}</author>
    <author>tc={E5636D79-B10C-4823-BDA9-EE908D355D29}</author>
    <author>tc={2D83AFFC-DDF1-4117-9665-06318F43EBE9}</author>
    <author>tc={DC636CF7-975C-4EBB-B9FA-3C385B67AFCD}</author>
    <author>tc={B2096E6F-3316-4C88-8A09-8A1D92A9A9E9}</author>
  </authors>
  <commentList>
    <comment ref="B22" authorId="0" shapeId="0" xr:uid="{F6431ED9-F18F-441C-89F1-FF82F1C5F024}">
      <text>
        <t xml:space="preserve">[Threaded comment]
Your version of Excel allows you to read this threaded comment; however, any edits to it will get removed if the file is opened in a newer version of Excel. Learn more: https://go.microsoft.com/fwlink/?linkid=870924
Comment:
    @Chen-Wei Chang  Change title to: Appropriate personal protective equipment supplied to and used by all workers free of charge
Reply:
    done </t>
      </text>
    </comment>
    <comment ref="B27" authorId="1" shapeId="0" xr:uid="{E5636D79-B10C-4823-BDA9-EE908D355D29}">
      <text>
        <t>[Threaded comment]
Your version of Excel allows you to read this threaded comment; however, any edits to it will get removed if the file is opened in a newer version of Excel. Learn more: https://go.microsoft.com/fwlink/?linkid=870924
Comment:
    @Chen-Wei Chang  change title to: Percentage of staff trained for health and safety at start and a refresher course at least every year. </t>
      </text>
    </comment>
    <comment ref="B32" authorId="2" shapeId="0" xr:uid="{2D83AFFC-DDF1-4117-9665-06318F43EBE9}">
      <text>
        <t>[Threaded comment]
Your version of Excel allows you to read this threaded comment; however, any edits to it will get removed if the file is opened in a newer version of Excel. Learn more: https://go.microsoft.com/fwlink/?linkid=870924
Comment:
    @Chen-Wei Chang  Change title to All workers have access to first aid and provision for emergency response.</t>
      </text>
    </comment>
    <comment ref="C62" authorId="3" shapeId="0" xr:uid="{DC636CF7-975C-4EBB-B9FA-3C385B67AFCD}">
      <text>
        <t>[Threaded comment]
Your version of Excel allows you to read this threaded comment; however, any edits to it will get removed if the file is opened in a newer version of Excel. Learn more: https://go.microsoft.com/fwlink/?linkid=870924
Comment:
    @Nicolas Viart Is that what you mention the value change to 25?
Reply:
    yes</t>
      </text>
    </comment>
    <comment ref="B135" authorId="4" shapeId="0" xr:uid="{B2096E6F-3316-4C88-8A09-8A1D92A9A9E9}">
      <text>
        <t>[Threaded comment]
Your version of Excel allows you to read this threaded comment; however, any edits to it will get removed if the file is opened in a newer version of Excel. Learn more: https://go.microsoft.com/fwlink/?linkid=870924
Comment:
    @Chen-Wei Chang Change indicator title to: Social Dialogue promotes consultation and information exchange between and among employers’ and workers’ organizations.</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tc={26883816-81D0-4477-9BFB-65F43C5A2E69}</author>
  </authors>
  <commentList>
    <comment ref="B36" authorId="0" shapeId="0" xr:uid="{26883816-81D0-4477-9BFB-65F43C5A2E69}">
      <text>
        <t>[Threaded comment]
Your version of Excel allows you to read this threaded comment; however, any edits to it will get removed if the file is opened in a newer version of Excel. Learn more: https://go.microsoft.com/fwlink/?linkid=870924
Comment:
    Missing 1.3.5 Payment for cane deliveries are made according to agreed contract.</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tc={65541BDF-4BDE-4F28-9489-5AE8E06633C5}</author>
    <author>tc={3199BF63-19F8-4DCC-AD98-AF9D7D75B711}</author>
  </authors>
  <commentList>
    <comment ref="F32" authorId="0" shapeId="0" xr:uid="{65541BDF-4BDE-4F28-9489-5AE8E06633C5}">
      <text>
        <t>[Threaded comment]
Your version of Excel allows you to read this threaded comment; however, any edits to it will get removed if the file is opened in a newer version of Excel. Learn more: https://go.microsoft.com/fwlink/?linkid=870924
Comment:
    move to scope 3</t>
      </text>
    </comment>
    <comment ref="M48" authorId="1" shapeId="0" xr:uid="{3199BF63-19F8-4DCC-AD98-AF9D7D75B711}">
      <text>
        <t xml:space="preserve">[Threaded comment]
Your version of Excel allows you to read this threaded comment; however, any edits to it will get removed if the file is opened in a newer version of Excel. Learn more: https://go.microsoft.com/fwlink/?linkid=870924
Comment:
    @Nicolas Viart After splitting GHG emissions data into Scope 1, 2,3. If you compare the total carbon emissions with original Bonsucro calculator, it's the same (see D48 vs I48). But if you check the total emissions per sugarcane or per sugar, it is different. Please have a look pic I took right hand side. I think is we reshuffle the carbon emissions in different field (numerator), and we have different type of cane production type (unit certification and total cane proceed), once we reshuffle the numerator, then the value will be slightly different (F39 vs I39, F40 vs I40), that's my opinion, what do you think ?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tc={2CDE3A3D-49A7-4161-BE3A-E40ADAACA13A}</author>
    <author>tc={D4200257-9364-4E8A-AE89-7F377DC21044}</author>
    <author>tc={D4A7DA5A-9330-4F2A-A61F-7886FEBEA490}</author>
    <author>tc={4B235F9B-2E77-4A6D-AEE1-88247343981E}</author>
    <author>tc={0ABB10CD-9A41-4EE2-9EA9-AD4DE213337E}</author>
    <author>tc={DABE2DA0-AB22-4B85-9CD1-680D33B76E3F}</author>
    <author>tc={F96AA959-4831-4C3C-976A-9177464191FE}</author>
  </authors>
  <commentList>
    <comment ref="F3" authorId="0" shapeId="0" xr:uid="{2CDE3A3D-49A7-4161-BE3A-E40ADAACA13A}">
      <text>
        <t>[Threaded comment]
Your version of Excel allows you to read this threaded comment; however, any edits to it will get removed if the file is opened in a newer version of Excel. Learn more: https://go.microsoft.com/fwlink/?linkid=870924
Comment:
    @Chen-Wei Chang  we'll need to check with the EU consultant if this value is updated to the latest EU RED legislation!</t>
      </text>
    </comment>
    <comment ref="C26" authorId="1" shapeId="0" xr:uid="{D4200257-9364-4E8A-AE89-7F377DC21044}">
      <text>
        <t>[Threaded comment]
Your version of Excel allows you to read this threaded comment; however, any edits to it will get removed if the file is opened in a newer version of Excel. Learn more: https://go.microsoft.com/fwlink/?linkid=870924
Comment:
    remove *1/C8</t>
      </text>
    </comment>
    <comment ref="G26" authorId="2" shapeId="0" xr:uid="{D4A7DA5A-9330-4F2A-A61F-7886FEBEA490}">
      <text>
        <t>[Threaded comment]
Your version of Excel allows you to read this threaded comment; however, any edits to it will get removed if the file is opened in a newer version of Excel. Learn more: https://go.microsoft.com/fwlink/?linkid=870924
Comment:
    change unit from g CO2/MJ fuel/year to g CO2/year</t>
      </text>
    </comment>
    <comment ref="G28" authorId="3" shapeId="0" xr:uid="{4B235F9B-2E77-4A6D-AEE1-88247343981E}">
      <text>
        <t>[Threaded comment]
Your version of Excel allows you to read this threaded comment; however, any edits to it will get removed if the file is opened in a newer version of Excel. Learn more: https://go.microsoft.com/fwlink/?linkid=870924
Comment:
    change unit from g CO2/MJ fuel/year to g CO2/year</t>
      </text>
    </comment>
    <comment ref="C29" authorId="4" shapeId="0" xr:uid="{0ABB10CD-9A41-4EE2-9EA9-AD4DE213337E}">
      <text>
        <t>[Threaded comment]
Your version of Excel allows you to read this threaded comment; however, any edits to it will get removed if the file is opened in a newer version of Excel. Learn more: https://go.microsoft.com/fwlink/?linkid=870924
Comment:
    Change C29 equation from 
=IF(C12="",14,C28+14)
To 
IF(C12="",14*1/C8,C28*1/C8+14*1/C8)
Reply:
    @Chen-Wei Chang  I don't think we should added *1/8 to the 14. 14 is the default emission for cane production expressed in gCO2/MJ</t>
      </text>
    </comment>
    <comment ref="C55" authorId="5" shapeId="0" xr:uid="{DABE2DA0-AB22-4B85-9CD1-680D33B76E3F}">
      <text>
        <t>[Threaded comment]
Your version of Excel allows you to read this threaded comment; however, any edits to it will get removed if the file is opened in a newer version of Excel. Learn more: https://go.microsoft.com/fwlink/?linkid=870924
Comment:
    remove *1/C8</t>
      </text>
    </comment>
    <comment ref="G55" authorId="6" shapeId="0" xr:uid="{F96AA959-4831-4C3C-976A-9177464191FE}">
      <text>
        <t>[Threaded comment]
Your version of Excel allows you to read this threaded comment; however, any edits to it will get removed if the file is opened in a newer version of Excel. Learn more: https://go.microsoft.com/fwlink/?linkid=870924
Comment:
    change unit from g CO2/MJ fuel/year to g CO2/year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tc={0854D008-A468-4473-817F-BD47517E51FF}</author>
    <author>tc={2F0BE31F-165C-45CF-ABBF-44F54C33D635}</author>
    <author>tc={A328BFB1-71C6-4567-9A0D-B18A0320FADD}</author>
    <author>tc={5CD0E57B-255A-4FFE-B77E-AFA45B5610D9}</author>
    <author>tc={4444AF45-A84B-49E8-9384-8F737CC06E20}</author>
  </authors>
  <commentList>
    <comment ref="J5" authorId="0" shapeId="0" xr:uid="{0854D008-A468-4473-817F-BD47517E51FF}">
      <text>
        <t>[Threaded comment]
Your version of Excel allows you to read this threaded comment; however, any edits to it will get removed if the file is opened in a newer version of Excel. Learn more: https://go.microsoft.com/fwlink/?linkid=870924
Comment:
    @Nicolas Viart @Nahuel Tunon We need to check that are these correct information for "Total production" and "Certifiable production only" these two columns.</t>
      </text>
    </comment>
    <comment ref="H7" authorId="1" shapeId="0" xr:uid="{2F0BE31F-165C-45CF-ABBF-44F54C33D635}">
      <text>
        <t>[Threaded comment]
Your version of Excel allows you to read this threaded comment; however, any edits to it will get removed if the file is opened in a newer version of Excel. Learn more: https://go.microsoft.com/fwlink/?linkid=870924
Comment:
    @Chen-Wei Chang i would say - If initial certification please fill 0, if you have been certified for 1 year, enter 1 and so on. If you are already certified, start from when you implemented the new standard (1st audit with the updated standard, please fill 0, after 1 year of using the new standard enter 1)
@Nahuel Tunon does it make sense?
Reply:
    @Nicolas Viart You mean the rule following what we did in Power BI dashboard ? If so, we may need to draw a chart to let user easy to follow.
Reply:
    @Chen-Wei Chang it's an adapation of the rules we used for power BI dashboard (this one doesn't change). Here I think we need to take into account that mills that have already been certified for x years, will still benefit from the implementation windows of the new standard. If a mill has been certified for 7 years and enter 7 here, all indicators will apply immediately without benefiting from 3 or 5 year implementation period for some of them (e.g. max hours of work)
Reply:
    @Nahuel Tunon  do you think the text is clear?</t>
      </text>
    </comment>
    <comment ref="D201" authorId="2" shapeId="0" xr:uid="{A328BFB1-71C6-4567-9A0D-B18A0320FADD}">
      <text>
        <t xml:space="preserve">[Threaded comment]
Your version of Excel allows you to read this threaded comment; however, any edits to it will get removed if the file is opened in a newer version of Excel. Learn more: https://go.microsoft.com/fwlink/?linkid=870924
Comment:
    @Chen-Wei Chang  should add or 2022 if already certified </t>
      </text>
    </comment>
    <comment ref="D208" authorId="3" shapeId="0" xr:uid="{5CD0E57B-255A-4FFE-B77E-AFA45B5610D9}">
      <text>
        <t xml:space="preserve">[Threaded comment]
Your version of Excel allows you to read this threaded comment; however, any edits to it will get removed if the file is opened in a newer version of Excel. Learn more: https://go.microsoft.com/fwlink/?linkid=870924
Comment:
    @Chen-Wei Chang  @Nicolas Viart  is this one line or 2? 
Reply:
    @Nahuel Tunon Originally it was one line, but I suppose it should be two, so I will change two. </t>
      </text>
    </comment>
    <comment ref="B276" authorId="4" shapeId="0" xr:uid="{4444AF45-A84B-49E8-9384-8F737CC06E20}">
      <text>
        <t>[Threaded comment]
Your version of Excel allows you to read this threaded comment; however, any edits to it will get removed if the file is opened in a newer version of Excel. Learn more: https://go.microsoft.com/fwlink/?linkid=870924
Comment:
    @Chen-Wei Chang  we can delete that one and 263 - check if no impact somewhere else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tc={1A253FCC-130E-4AFF-916E-8E6BAD9667D4}</author>
  </authors>
  <commentList>
    <comment ref="A80" authorId="0" shapeId="0" xr:uid="{1A253FCC-130E-4AFF-916E-8E6BAD9667D4}">
      <text>
        <t xml:space="preserve">[Threaded comment]
Your version of Excel allows you to read this threaded comment; however, any edits to it will get removed if the file is opened in a newer version of Excel. Learn more: https://go.microsoft.com/fwlink/?linkid=870924
Comment:
    @Chen-Wei Chang  do you want to discuss before deleting the indicators below?
Reply:
    @Nicolas Viart Yes, it would be great. As some old indicators linked to some input data that we may need to remove it, but it maybe useful to keep some for extra information. 
Reply:
    @Chen-Wei Chang  i would keep the input data and just delete the intermediary calculation in the Px tabs
Reply:
    @Nicolas Viart No problem, and I will keep and put these input data into "Extra information provided for data analysis only" area in the bottom of input data tab.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tc={B0EE48D9-A62C-4208-909D-6AEC2C798DDB}</author>
  </authors>
  <commentList>
    <comment ref="C87" authorId="0" shapeId="0" xr:uid="{B0EE48D9-A62C-4208-909D-6AEC2C798DDB}">
      <text>
        <t>[Threaded comment]
Your version of Excel allows you to read this threaded comment; however, any edits to it will get removed if the file is opened in a newer version of Excel. Learn more: https://go.microsoft.com/fwlink/?linkid=870924
Comment:
    need formula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tc={2090CB6A-6993-4DC1-8BCB-1A64D7A35BB1}</author>
    <author>tc={7EF961F8-5032-4E15-A1ED-79F1F0D62B0D}</author>
  </authors>
  <commentList>
    <comment ref="B32" authorId="0" shapeId="0" xr:uid="{2090CB6A-6993-4DC1-8BCB-1A64D7A35BB1}">
      <text>
        <t>[Threaded comment]
Your version of Excel allows you to read this threaded comment; however, any edits to it will get removed if the file is opened in a newer version of Excel. Learn more: https://go.microsoft.com/fwlink/?linkid=870924
Comment:
    @Nicolas Viart  @Chen-Wei Chang  4.1.5 Percentage of greenfield expansion or new sugarcane project covered by ESIA 
Reply:
    There is one indicator too many
Reply:
    it's the only one that mentions ESIA</t>
      </text>
    </comment>
    <comment ref="C194" authorId="1" shapeId="0" xr:uid="{7EF961F8-5032-4E15-A1ED-79F1F0D62B0D}">
      <text>
        <t>[Threaded comment]
Your version of Excel allows you to read this threaded comment; however, any edits to it will get removed if the file is opened in a newer version of Excel. Learn more: https://go.microsoft.com/fwlink/?linkid=870924
Comment:
    need formula !!
Reply:
    @Chen-Wei Chang  i added one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tc={77CBE05A-B4CA-44E6-96F0-FF6AB3F9D04F}</author>
    <author>tc={CAE2A929-4F67-4539-8193-F21557290920}</author>
    <author>tc={FD70AA6D-810A-4258-871E-7FE0089CA194}</author>
    <author>tc={B421E7BC-1070-4720-B387-53FF16459164}</author>
    <author>tc={A892C318-FF89-4CED-A51A-B1D123FEAFFA}</author>
    <author>David</author>
    <author>tc={BEE5D80C-CC99-4FB7-89FF-6DB550CE0951}</author>
    <author>tc={FAFB773D-63E1-4D40-96FB-8CF21B0FB0F1}</author>
    <author>tc={00E35F66-0E1A-4C05-AF6F-28050BC5CE68}</author>
  </authors>
  <commentList>
    <comment ref="B25" authorId="0" shapeId="0" xr:uid="{77CBE05A-B4CA-44E6-96F0-FF6AB3F9D04F}">
      <text>
        <t>[Threaded comment]
Your version of Excel allows you to read this threaded comment; however, any edits to it will get removed if the file is opened in a newer version of Excel. Learn more: https://go.microsoft.com/fwlink/?linkid=870924
Comment:
    @Chen-Wei Chang  @Nicolas Viart  Efficiency of harvesting operations is missing. 
Reply:
    @Nahuel Tunon The scope of 3.1.4 Efficiency of harvesting operations is in agri based on "Change to Cert Protocol.xlsx" 
Reply:
    @Nahuel Tunon  we've included in the inconsistency document that it should only apply to mill (as last operation is at mill, they are the one that should be evaluated) - do you agree?</t>
      </text>
    </comment>
    <comment ref="C181" authorId="1" shapeId="0" xr:uid="{CAE2A929-4F67-4539-8193-F21557290920}">
      <text>
        <t>[Threaded comment]
Your version of Excel allows you to read this threaded comment; however, any edits to it will get removed if the file is opened in a newer version of Excel. Learn more: https://go.microsoft.com/fwlink/?linkid=870924
Comment:
    Now, we change from energy allocation to economic allocation</t>
      </text>
    </comment>
    <comment ref="A204" authorId="2" shapeId="0" xr:uid="{FD70AA6D-810A-4258-871E-7FE0089CA194}">
      <text>
        <t>[Threaded comment]
Your version of Excel allows you to read this threaded comment; however, any edits to it will get removed if the file is opened in a newer version of Excel. Learn more: https://go.microsoft.com/fwlink/?linkid=870924
Comment:
    changed from company data 5.4.1 to company data 3.2.5</t>
      </text>
    </comment>
    <comment ref="C240" authorId="3" shapeId="0" xr:uid="{B421E7BC-1070-4720-B387-53FF16459164}">
      <text>
        <t>[Threaded comment]
Your version of Excel allows you to read this threaded comment; however, any edits to it will get removed if the file is opened in a newer version of Excel. Learn more: https://go.microsoft.com/fwlink/?linkid=870924
Comment:
    Change to link (inputdataE145+E146) directly to simplify data flow</t>
      </text>
    </comment>
    <comment ref="C384" authorId="4" shapeId="0" xr:uid="{A892C318-FF89-4CED-A51A-B1D123FEAFFA}">
      <text>
        <t>[Threaded comment]
Your version of Excel allows you to read this threaded comment; however, any edits to it will get removed if the file is opened in a newer version of Excel. Learn more: https://go.microsoft.com/fwlink/?linkid=870924
Comment:
    link inputdata(E15+E16*0.791
+E17+E18+E19+E20) directly to simplify data flow</t>
      </text>
    </comment>
    <comment ref="C392" authorId="5" shapeId="0" xr:uid="{1715E7A6-BA6A-4260-9E8B-E9B3FBE455AE}">
      <text>
        <r>
          <rPr>
            <sz val="9"/>
            <color indexed="81"/>
            <rFont val="Tahoma"/>
            <family val="2"/>
          </rPr>
          <t>Two options for this calculation are provided, depending on what data are available</t>
        </r>
      </text>
    </comment>
    <comment ref="C418" authorId="6" shapeId="0" xr:uid="{BEE5D80C-CC99-4FB7-89FF-6DB550CE0951}">
      <text>
        <t>[Threaded comment]
Your version of Excel allows you to read this threaded comment; however, any edits to it will get removed if the file is opened in a newer version of Excel. Learn more: https://go.microsoft.com/fwlink/?linkid=870924
Comment:
    it is a temporary value</t>
      </text>
    </comment>
    <comment ref="C425" authorId="7" shapeId="0" xr:uid="{FAFB773D-63E1-4D40-96FB-8CF21B0FB0F1}">
      <text>
        <t>[Threaded comment]
Your version of Excel allows you to read this threaded comment; however, any edits to it will get removed if the file is opened in a newer version of Excel. Learn more: https://go.microsoft.com/fwlink/?linkid=870924
Comment:
    put energy allocation in Ethanol production and electricity export</t>
      </text>
    </comment>
    <comment ref="C426" authorId="8" shapeId="0" xr:uid="{00E35F66-0E1A-4C05-AF6F-28050BC5CE68}">
      <text>
        <t xml:space="preserve">[Threaded comment]
Your version of Excel allows you to read this threaded comment; however, any edits to it will get removed if the file is opened in a newer version of Excel. Learn more: https://go.microsoft.com/fwlink/?linkid=870924
Comment:
    we will try 2 ways of calculating:
- ethOH production and electricity export (to do this you need to allocated the energy input to the production of ethanol and export of electricity)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tc={A2188A2E-67AD-41C5-B167-AAF4CE7764DF}</author>
    <author>tc={15FAEF87-62FB-40AD-BF83-FB35F2049ECD}</author>
    <author>user</author>
    <author>tc={EA53E962-B9D2-4B8A-8F3B-746AF42A9263}</author>
    <author>tc={BA539F30-721F-4370-A207-9A53688C2BB0}</author>
    <author>tc={B99F32E7-A889-4C8E-B679-A4F7DB49B773}</author>
    <author>tc={A68F9CEE-F723-4B3C-A9DB-A0E13A0D210F}</author>
    <author>tc={68B07DBE-FDE0-477C-9654-5DA500CC5B95}</author>
    <author>tc={BC684402-DA3C-44FA-AAB1-88D346BCE0F8}</author>
    <author>tc={8F74714D-2AD0-4781-AF27-910C3E786DDB}</author>
    <author>tc={6211B458-633E-4E1A-A233-B866C8DDF82F}</author>
    <author>tc={6F7DEBB1-D0E1-4439-BEF6-0C61509DF619}</author>
  </authors>
  <commentList>
    <comment ref="A2" authorId="0" shapeId="0" xr:uid="{A2188A2E-67AD-41C5-B167-AAF4CE7764DF}">
      <text>
        <t xml:space="preserve">[Threaded comment]
Your version of Excel allows you to read this threaded comment; however, any edits to it will get removed if the file is opened in a newer version of Excel. Learn more: https://go.microsoft.com/fwlink/?linkid=870924
Comment:
    Text is missing in this top line @Chen-Wei Chang  @Nicolas Viart </t>
      </text>
    </comment>
    <comment ref="A3" authorId="1" shapeId="0" xr:uid="{15FAEF87-62FB-40AD-BF83-FB35F2049ECD}">
      <text>
        <t xml:space="preserve">[Threaded comment]
Your version of Excel allows you to read this threaded comment; however, any edits to it will get removed if the file is opened in a newer version of Excel. Learn more: https://go.microsoft.com/fwlink/?linkid=870924
Comment:
    @Chen-Wei Chang  Criterion is missing </t>
      </text>
    </comment>
    <comment ref="C3" authorId="2" shapeId="0" xr:uid="{00000000-0006-0000-0A00-000001000000}">
      <text>
        <r>
          <rPr>
            <sz val="9"/>
            <color indexed="81"/>
            <rFont val="Tahoma"/>
            <family val="2"/>
          </rPr>
          <t>Standard required varies between 2 limits depending on proportions of irrigated, supplementary irrigated or dryland areas.</t>
        </r>
      </text>
    </comment>
    <comment ref="A18" authorId="3" shapeId="0" xr:uid="{EA53E962-B9D2-4B8A-8F3B-746AF42A9263}">
      <text>
        <t xml:space="preserve">[Threaded comment]
Your version of Excel allows you to read this threaded comment; however, any edits to it will get removed if the file is opened in a newer version of Excel. Learn more: https://go.microsoft.com/fwlink/?linkid=870924
Comment:
    Missing info @Chen-Wei Chang </t>
      </text>
    </comment>
    <comment ref="B18" authorId="4" shapeId="0" xr:uid="{BA539F30-721F-4370-A207-9A53688C2BB0}">
      <text>
        <t xml:space="preserve">[Threaded comment]
Your version of Excel allows you to read this threaded comment; however, any edits to it will get removed if the file is opened in a newer version of Excel. Learn more: https://go.microsoft.com/fwlink/?linkid=870924
Comment:
    @Chen-Wei Chang  Change name to Yield of production </t>
      </text>
    </comment>
    <comment ref="C74" authorId="5" shapeId="0" xr:uid="{B99F32E7-A889-4C8E-B679-A4F7DB49B773}">
      <text>
        <t>[Threaded comment]
Your version of Excel allows you to read this threaded comment; however, any edits to it will get removed if the file is opened in a newer version of Excel. Learn more: https://go.microsoft.com/fwlink/?linkid=870924
Comment:
    waiting for details of calculation</t>
      </text>
    </comment>
    <comment ref="C141" authorId="6" shapeId="0" xr:uid="{A68F9CEE-F723-4B3C-A9DB-A0E13A0D210F}">
      <text>
        <t>[Threaded comment]
Your version of Excel allows you to read this threaded comment; however, any edits to it will get removed if the file is opened in a newer version of Excel. Learn more: https://go.microsoft.com/fwlink/?linkid=870924
Comment:
    NEED TO FIND EMISSION FACTOR</t>
      </text>
    </comment>
    <comment ref="C148" authorId="7" shapeId="0" xr:uid="{68B07DBE-FDE0-477C-9654-5DA500CC5B95}">
      <text>
        <t>[Threaded comment]
Your version of Excel allows you to read this threaded comment; however, any edits to it will get removed if the file is opened in a newer version of Excel. Learn more: https://go.microsoft.com/fwlink/?linkid=870924
Comment:
    It gives fixed number now here, will put it in coversion factors table later</t>
      </text>
    </comment>
    <comment ref="C211" authorId="8" shapeId="0" xr:uid="{BC684402-DA3C-44FA-AAB1-88D346BCE0F8}">
      <text>
        <t>[Threaded comment]
Your version of Excel allows you to read this threaded comment; however, any edits to it will get removed if the file is opened in a newer version of Excel. Learn more: https://go.microsoft.com/fwlink/?linkid=870924
Comment:
    add aerial spraying emission(C109) into sum</t>
      </text>
    </comment>
    <comment ref="C214" authorId="9" shapeId="0" xr:uid="{8F74714D-2AD0-4781-AF27-910C3E786DDB}">
      <text>
        <t>[Threaded comment]
Your version of Excel allows you to read this threaded comment; however, any edits to it will get removed if the file is opened in a newer version of Excel. Learn more: https://go.microsoft.com/fwlink/?linkid=870924
Comment:
    In P3 Agri, C173, link P6 Agri C31 (g CO2/ha/year) and divided by 1000000 to match the unit in P3 Agri C160 (t CO2eq/ha/year)
Reply:
    in EU RED we allocate the LUC to the whole production (14+LUC emission: become the GHG of the whole EU RED ethanol). Here we "dilute" the GHG emissions from LUC to the whole production. If we follow that principle we would need to add 82.2 kg CO2/T to the GHG coming from agriculture. we need to search what best practice is!</t>
      </text>
    </comment>
    <comment ref="B221" authorId="10" shapeId="0" xr:uid="{6211B458-633E-4E1A-A233-B866C8DDF82F}">
      <text>
        <t>[Threaded comment]
Your version of Excel allows you to read this threaded comment; however, any edits to it will get removed if the file is opened in a newer version of Excel. Learn more: https://go.microsoft.com/fwlink/?linkid=870924
Comment:
    @Nicolas Viart  @Chen-Wei Chang  Indicator on GHG of Sugar and GHG of Ethanol in the current standard apply to both the farm and the mill and they do so in the draft as well. Should they only apply to the mill? 
Reply:
    @Nahuel Tunon we need to amend - we have 3.2.2 for the farm, 3.2.3 for the mill (the tricky part is that some farm data are needed to calculate 3.2.3, but compliance should only be affecting the mill result). I'll it to the inconsistency doc</t>
      </text>
    </comment>
    <comment ref="C286" authorId="11" shapeId="0" xr:uid="{6F7DEBB1-D0E1-4439-BEF6-0C61509DF619}">
      <text>
        <t>[Threaded comment]
Your version of Excel allows you to read this threaded comment; however, any edits to it will get removed if the file is opened in a newer version of Excel. Learn more: https://go.microsoft.com/fwlink/?linkid=870924
Comment:
    Add energy consumption of aerial spraying(C230) into total energy consumption of Agricultural phase (C243)</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tc={A9FCF9E7-EE37-4915-BB18-7BA5F2E66A81}</author>
  </authors>
  <commentList>
    <comment ref="A1" authorId="0" shapeId="0" xr:uid="{A9FCF9E7-EE37-4915-BB18-7BA5F2E66A81}">
      <text>
        <t>[Threaded comment]
Your version of Excel allows you to read this threaded comment; however, any edits to it will get removed if the file is opened in a newer version of Excel. Learn more: https://go.microsoft.com/fwlink/?linkid=870924
Comment:
    @Chen-Wei Chang we will be able to remove this tab i think</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tc={E5B73AA1-528A-4172-9323-EA1385DEB37C}</author>
    <author>tc={39347B28-E47C-457A-87AC-1D0AE209ED3B}</author>
    <author>tc={51C973DC-09B3-4E95-AB0D-2C9522EF7F46}</author>
    <author>tc={89E9C860-7A65-4E5B-9233-29E38CCD8605}</author>
    <author>tc={E9BB30B9-3C13-4EFD-ABF3-CBA2592503E4}</author>
  </authors>
  <commentList>
    <comment ref="B3" authorId="0" shapeId="0" xr:uid="{E5B73AA1-528A-4172-9323-EA1385DEB37C}">
      <text>
        <t xml:space="preserve">[Threaded comment]
Your version of Excel allows you to read this threaded comment; however, any edits to it will get removed if the file is opened in a newer version of Excel. Learn more: https://go.microsoft.com/fwlink/?linkid=870924
Comment:
    @Chen-Wei Chang  Change title to: Main health and safety hazards and risks are identified, documented, assessed, communicated to workers, and mitigated.
Reply:
    done </t>
      </text>
    </comment>
    <comment ref="B22" authorId="1" shapeId="0" xr:uid="{39347B28-E47C-457A-87AC-1D0AE209ED3B}">
      <text>
        <t>[Threaded comment]
Your version of Excel allows you to read this threaded comment; however, any edits to it will get removed if the file is opened in a newer version of Excel. Learn more: https://go.microsoft.com/fwlink/?linkid=870924
Comment:
    Change title to: Appropriate personal protective equipment supplied to and used by all workers free of charge.</t>
      </text>
    </comment>
    <comment ref="B29" authorId="2" shapeId="0" xr:uid="{51C973DC-09B3-4E95-AB0D-2C9522EF7F46}">
      <text>
        <t>[Threaded comment]
Your version of Excel allows you to read this threaded comment; however, any edits to it will get removed if the file is opened in a newer version of Excel. Learn more: https://go.microsoft.com/fwlink/?linkid=870924
Comment:
    @Chen-Wei Chang  Change title to: Percentage of staff trained for health and safety at start and a refresher course at least every year. </t>
      </text>
    </comment>
    <comment ref="B32" authorId="3" shapeId="0" xr:uid="{89E9C860-7A65-4E5B-9233-29E38CCD8605}">
      <text>
        <t>[Threaded comment]
Your version of Excel allows you to read this threaded comment; however, any edits to it will get removed if the file is opened in a newer version of Excel. Learn more: https://go.microsoft.com/fwlink/?linkid=870924
Comment:
    @Chen-Wei Chang  Change title to: All workers have access to first aid and provision for emergency response.</t>
      </text>
    </comment>
    <comment ref="B142" authorId="4" shapeId="0" xr:uid="{E9BB30B9-3C13-4EFD-ABF3-CBA2592503E4}">
      <text>
        <t>[Threaded comment]
Your version of Excel allows you to read this threaded comment; however, any edits to it will get removed if the file is opened in a newer version of Excel. Learn more: https://go.microsoft.com/fwlink/?linkid=870924
Comment:
    @Chen-Wei Chang  Change title to: Social Dialogue promotes consultation and information exchange between and among employers’ and workers’ organizations.</t>
      </text>
    </comment>
  </commentList>
</comments>
</file>

<file path=xl/sharedStrings.xml><?xml version="1.0" encoding="utf-8"?>
<sst xmlns="http://schemas.openxmlformats.org/spreadsheetml/2006/main" count="7624" uniqueCount="2735">
  <si>
    <t>BONSUCRO SUSTAINABILITY STANDARDS METRICS CALCULATOR</t>
  </si>
  <si>
    <t>Changes from previous versions</t>
  </si>
  <si>
    <t>Version</t>
  </si>
  <si>
    <t>Tab</t>
  </si>
  <si>
    <t>Line</t>
  </si>
  <si>
    <t>Note</t>
  </si>
  <si>
    <t>Published</t>
  </si>
  <si>
    <t>not circulated</t>
  </si>
  <si>
    <t>Input data</t>
  </si>
  <si>
    <t>Line 48</t>
  </si>
  <si>
    <t>Description amended</t>
  </si>
  <si>
    <t>Line 62</t>
  </si>
  <si>
    <t>Note amended</t>
  </si>
  <si>
    <t>Line 63</t>
  </si>
  <si>
    <t>Line 75</t>
  </si>
  <si>
    <t>Verifier amended from Currency to Currency / tonne</t>
  </si>
  <si>
    <t>Line 191</t>
  </si>
  <si>
    <t>Line 200</t>
  </si>
  <si>
    <t>New entry requires to take into consideration possibility that mill didn’t do any major sugarcane project</t>
  </si>
  <si>
    <t>Line 201</t>
  </si>
  <si>
    <t>P5Mill</t>
  </si>
  <si>
    <t>5.7.1</t>
  </si>
  <si>
    <t>Formula adapted to take into consideration possibility that mill didn't do any major sugarcane project</t>
  </si>
  <si>
    <t>P5Agric</t>
  </si>
  <si>
    <t xml:space="preserve">Formula adapted to take into consideration possibility that no area converted after 1 January 2008 </t>
  </si>
  <si>
    <t>Line 224</t>
  </si>
  <si>
    <t>New entry to take into consideration possiblity that mill does not discharge into river</t>
  </si>
  <si>
    <t>P4Mill</t>
  </si>
  <si>
    <t>4.1.1</t>
  </si>
  <si>
    <t>Formula adapted to take into consideration cases where mill does not discharge into river</t>
  </si>
  <si>
    <t>line 128</t>
  </si>
  <si>
    <t>New entry for LHV for diesel</t>
  </si>
  <si>
    <t>P5 Transport</t>
  </si>
  <si>
    <t>line 10</t>
  </si>
  <si>
    <t>formula adapted</t>
  </si>
  <si>
    <t>formula adapted to integrate the 10% rule defining major greenfield extensions of land</t>
  </si>
  <si>
    <t>line 78</t>
  </si>
  <si>
    <t>new entry used as threshold for the application of 5.7.1</t>
  </si>
  <si>
    <t>4.03.1</t>
  </si>
  <si>
    <t>Information added for clarification - PORT /SPA only</t>
  </si>
  <si>
    <t>4.03.2</t>
  </si>
  <si>
    <t>Linha 63</t>
  </si>
  <si>
    <t>Information translated - PORT /SPA only</t>
  </si>
  <si>
    <t>Linha 173</t>
  </si>
  <si>
    <t>ashes</t>
  </si>
  <si>
    <t>Output summary</t>
  </si>
  <si>
    <t>error fixed in calculation of final % of compliance</t>
  </si>
  <si>
    <t>amendment background information and protection of spreadsheet</t>
  </si>
  <si>
    <t>C66</t>
  </si>
  <si>
    <t>change reference cell from E11 to E14 (sugarcane processed)</t>
  </si>
  <si>
    <t>4.05.1</t>
  </si>
  <si>
    <t>Changes</t>
  </si>
  <si>
    <t>Tab "Changes" added into PORT/SPA versions</t>
  </si>
  <si>
    <t>Line 84</t>
  </si>
  <si>
    <t>change in display of result (directly in %)</t>
  </si>
  <si>
    <t>P2Agric</t>
  </si>
  <si>
    <t>E85</t>
  </si>
  <si>
    <t>formula amended to correctly calculated compliance</t>
  </si>
  <si>
    <t>line 254</t>
  </si>
  <si>
    <t>New data</t>
  </si>
  <si>
    <t>line 255</t>
  </si>
  <si>
    <t>line 259</t>
  </si>
  <si>
    <t>line 260</t>
  </si>
  <si>
    <t>C253</t>
  </si>
  <si>
    <t>change reference to 2.4.1</t>
  </si>
  <si>
    <t>C76</t>
  </si>
  <si>
    <t>change reference to 5.6.1</t>
  </si>
  <si>
    <t>column J</t>
  </si>
  <si>
    <t>added a star to line 53, 56, 57, 87, 90, 91, 92, 93, 94, 128</t>
  </si>
  <si>
    <t>Column I</t>
  </si>
  <si>
    <t>added a star to line 137, 140, 141, 151, 200, 221, 222, 224, 233, 238, 248</t>
  </si>
  <si>
    <t>C219, C220, C221</t>
  </si>
  <si>
    <t>change reference to 3.1.5</t>
  </si>
  <si>
    <t>C79, C80</t>
  </si>
  <si>
    <t>change reference to 5.7.1</t>
  </si>
  <si>
    <t>E49</t>
  </si>
  <si>
    <t>0 entered as default value</t>
  </si>
  <si>
    <t>C252</t>
  </si>
  <si>
    <t>change reference to 2.3.4</t>
  </si>
  <si>
    <t>C202, C203</t>
  </si>
  <si>
    <t>C217</t>
  </si>
  <si>
    <t>change regerence to 3.1.3</t>
  </si>
  <si>
    <t>H22- H29</t>
  </si>
  <si>
    <t>notes have been amended</t>
  </si>
  <si>
    <t>H201 - H204</t>
  </si>
  <si>
    <t>C204</t>
  </si>
  <si>
    <t>change reference from certified area to total area</t>
  </si>
  <si>
    <t>C22-C30</t>
  </si>
  <si>
    <t>change reference to 3.1.2</t>
  </si>
  <si>
    <t>C96</t>
  </si>
  <si>
    <t>change reference to 1.1.1</t>
  </si>
  <si>
    <t>C97</t>
  </si>
  <si>
    <t>change reference to 1.2.1</t>
  </si>
  <si>
    <t>C203-C204</t>
  </si>
  <si>
    <t>change reference to 4.1.2</t>
  </si>
  <si>
    <t>C80</t>
  </si>
  <si>
    <t>H94</t>
  </si>
  <si>
    <t>clarify lime refers to CaCO3</t>
  </si>
  <si>
    <t>H135</t>
  </si>
  <si>
    <t>clarify notes</t>
  </si>
  <si>
    <t>H126</t>
  </si>
  <si>
    <t>new note added</t>
  </si>
  <si>
    <t>H258</t>
  </si>
  <si>
    <t>column D/H</t>
  </si>
  <si>
    <t>various - improved for clarity</t>
  </si>
  <si>
    <t>P6Agric</t>
  </si>
  <si>
    <t>all</t>
  </si>
  <si>
    <t>redistribution of data to increase clarity</t>
  </si>
  <si>
    <t>P3Mill</t>
  </si>
  <si>
    <t>E54</t>
  </si>
  <si>
    <t>formula amended to correctly calculate compliance</t>
  </si>
  <si>
    <t>P3Agri</t>
  </si>
  <si>
    <t>F8</t>
  </si>
  <si>
    <t>comment removed</t>
  </si>
  <si>
    <t>Conversion factor</t>
  </si>
  <si>
    <t>A53</t>
  </si>
  <si>
    <r>
      <t>clarify lime refers to CaCO</t>
    </r>
    <r>
      <rPr>
        <vertAlign val="subscript"/>
        <sz val="8"/>
        <color theme="1"/>
        <rFont val="Trebuchet MS"/>
        <family val="2"/>
      </rPr>
      <t>3</t>
    </r>
  </si>
  <si>
    <t>B62</t>
  </si>
  <si>
    <t>C72</t>
  </si>
  <si>
    <t>formula amended to correctly reference the correct input data</t>
  </si>
  <si>
    <t>E38</t>
  </si>
  <si>
    <t>Mistake in the formula corrected</t>
  </si>
  <si>
    <t>C170</t>
  </si>
  <si>
    <t>error fixed in calculation of agriculture phase emissions calculation</t>
  </si>
  <si>
    <t>C182</t>
  </si>
  <si>
    <t>land use change calculation moved to bottom of sheet</t>
  </si>
  <si>
    <t>C178</t>
  </si>
  <si>
    <t>update formula to show emissions per t of cane</t>
  </si>
  <si>
    <t>P3.2.1</t>
  </si>
  <si>
    <t>removal of transportation emissions in display (not used in emission calculations of agriculture phase)</t>
  </si>
  <si>
    <t>P2Mill</t>
  </si>
  <si>
    <t>C88</t>
  </si>
  <si>
    <t>update of the formula</t>
  </si>
  <si>
    <t>H221</t>
  </si>
  <si>
    <t>note added</t>
  </si>
  <si>
    <t>4.1.3</t>
  </si>
  <si>
    <t>amended of note - 12 months average</t>
  </si>
  <si>
    <t>line 31</t>
  </si>
  <si>
    <t>added input to capture area treated with herbicides</t>
  </si>
  <si>
    <t>line 33</t>
  </si>
  <si>
    <t>added input to capture area treated with peticides</t>
  </si>
  <si>
    <t>line 35</t>
  </si>
  <si>
    <t>added input to capture area treated with ripeners</t>
  </si>
  <si>
    <t>line 37</t>
  </si>
  <si>
    <t>added input to capture area treated with other chemicals</t>
  </si>
  <si>
    <t>line 110</t>
  </si>
  <si>
    <t>added input data to capture total number of hours worked by subcontractors</t>
  </si>
  <si>
    <t>line 248</t>
  </si>
  <si>
    <t>line 259/260</t>
  </si>
  <si>
    <t>added input data to record Latitude and Longitude of mills</t>
  </si>
  <si>
    <t>B66</t>
  </si>
  <si>
    <t>change emission factors N content in filter cake</t>
  </si>
  <si>
    <t>C155</t>
  </si>
  <si>
    <t>amendment of calculation methodology for emissions from residues left in field</t>
  </si>
  <si>
    <t>C166</t>
  </si>
  <si>
    <t>amendment of calculation methodology for emissions from vinasse</t>
  </si>
  <si>
    <t>C35</t>
  </si>
  <si>
    <t>update formula to adapt to new input data on hours from subcontractors</t>
  </si>
  <si>
    <t>C36</t>
  </si>
  <si>
    <t>C18</t>
  </si>
  <si>
    <t xml:space="preserve">update background formula </t>
  </si>
  <si>
    <t>change formula to avoid display of error messages</t>
  </si>
  <si>
    <t>amendment of formula for calculation of overall score</t>
  </si>
  <si>
    <t>LCA</t>
  </si>
  <si>
    <t>review and amendment to the Life Cycle Analysis</t>
  </si>
  <si>
    <t>E46</t>
  </si>
  <si>
    <t>amendment of formula for calculation for the display of result when applicable</t>
  </si>
  <si>
    <t>E84</t>
  </si>
  <si>
    <t>line 263</t>
  </si>
  <si>
    <t>Amendment of note to now read: Calculate using tab P6 Agric (references Annex 3 of the Production Standard and Annex 6 of the Guidance to the Production Standard)</t>
  </si>
  <si>
    <t>74 and 195</t>
  </si>
  <si>
    <t>Amended note for clarity on indicator 5.5.3</t>
  </si>
  <si>
    <t>85 and 211</t>
  </si>
  <si>
    <t>Amended note for clarity on indicator 4.1.3</t>
  </si>
  <si>
    <t>Explained acronyms (HCV/ESIA/EIMP)</t>
  </si>
  <si>
    <t>Added pH in water</t>
  </si>
  <si>
    <t>210 and 211</t>
  </si>
  <si>
    <t>Added in note: estimate if mill owned/operated land</t>
  </si>
  <si>
    <t>56-61; 112-113; 141-146; 249-250</t>
  </si>
  <si>
    <t>Amended note for clarity on application of indicator</t>
  </si>
  <si>
    <t>B43</t>
  </si>
  <si>
    <t>changes in the emission factor from 66.2 to 0.0662</t>
  </si>
  <si>
    <t>amendment of formula for calculation</t>
  </si>
  <si>
    <t>F3</t>
  </si>
  <si>
    <t>change to the EU RED GHG saving threshold</t>
  </si>
  <si>
    <t>C23</t>
  </si>
  <si>
    <t>change in the formula to reflect removal of supplementary irrigation, now considered as irrigation</t>
  </si>
  <si>
    <t xml:space="preserve">C31 </t>
  </si>
  <si>
    <t>new data to allow use of a default value for agriculture activities in case of mill only certification</t>
  </si>
  <si>
    <t>C145</t>
  </si>
  <si>
    <t>change in formula to take into account mill only certification and application of default values (GHG calculation)</t>
  </si>
  <si>
    <t>C286</t>
  </si>
  <si>
    <t>change in formula to take into account mill only certification and application of default values (Energy usage)</t>
  </si>
  <si>
    <t>C221</t>
  </si>
  <si>
    <t>change in formula to take into account mill only certification and application of default values (acidifcation)</t>
  </si>
  <si>
    <t>change in formulo to take into account removal of supplementary irrigation (now gathered in irrigation)</t>
  </si>
  <si>
    <t>4.1.4</t>
  </si>
  <si>
    <t>various</t>
  </si>
  <si>
    <t>amendment to line referenced in changes</t>
  </si>
  <si>
    <t>change to the spreadsheet protection set up</t>
  </si>
  <si>
    <t>P6Mill</t>
  </si>
  <si>
    <t>The Bonsucro® Calculator and its content is copyright of “Bonsucro®” - © « Bonsucro®» 2010-2020. All rights reserved.</t>
  </si>
  <si>
    <t>Bonsucro® prohibits any modification of part or all of the contents in any form.</t>
  </si>
  <si>
    <t>Bonsucro Production Standard OUTPUT SUMMARY</t>
  </si>
  <si>
    <t>For:</t>
  </si>
  <si>
    <t>Period:</t>
  </si>
  <si>
    <t>Summary</t>
  </si>
  <si>
    <r>
      <t xml:space="preserve">Overall </t>
    </r>
    <r>
      <rPr>
        <sz val="9"/>
        <color theme="1" tint="0.34998626667073579"/>
        <rFont val="Trebuchet MS"/>
        <family val="2"/>
      </rPr>
      <t>(where applicable, both agriculture and mill must to be compliant with an indicator for the indicator be counted as compliant)</t>
    </r>
  </si>
  <si>
    <t>Individual core indicator compliance:</t>
  </si>
  <si>
    <t>=100-(65*100/((COUNTIF(B38:B166,"CORE")AND(G38:G166,"COMPLIANT")+COUNTIF(B171:B177,"CORE")AND(G171:G177,"COMPLIANT")-(COUNTBLANK(G38:G166)+COUNTBLANK(G171:G177))))</t>
  </si>
  <si>
    <t>%</t>
  </si>
  <si>
    <t>Compliance with core criteria:</t>
  </si>
  <si>
    <t>Individual non-core indicator compliance:</t>
  </si>
  <si>
    <t>Compliance with non-core criteria:</t>
  </si>
  <si>
    <t>P1 to P4 indicators</t>
  </si>
  <si>
    <t>Agriculture core indicator compliance:</t>
  </si>
  <si>
    <t>Milling core indicator compliance:</t>
  </si>
  <si>
    <t>Whole supply area core indicator compliance:</t>
  </si>
  <si>
    <t>Agriculture non-core indicator compliance :</t>
  </si>
  <si>
    <t>Milling non-core indicator compliance:</t>
  </si>
  <si>
    <t>Whole supply area non-core indicator compliance:</t>
  </si>
  <si>
    <t>P5 indicators</t>
  </si>
  <si>
    <t xml:space="preserve">Year of Certification </t>
  </si>
  <si>
    <t>Total indicators compliance:</t>
  </si>
  <si>
    <t>Compliance with P5</t>
  </si>
  <si>
    <t>after year 0 (initial certification)</t>
  </si>
  <si>
    <t>Result:</t>
  </si>
  <si>
    <t>Certification criteria</t>
  </si>
  <si>
    <t>Scope</t>
  </si>
  <si>
    <t>Indicator</t>
  </si>
  <si>
    <t>Result</t>
  </si>
  <si>
    <t xml:space="preserve">Compliance </t>
  </si>
  <si>
    <t>Standard</t>
  </si>
  <si>
    <t>Criteria</t>
  </si>
  <si>
    <t>Principle</t>
  </si>
  <si>
    <t xml:space="preserve">AGRICULTURE </t>
  </si>
  <si>
    <t>Core</t>
  </si>
  <si>
    <t>Criterion 1.1</t>
  </si>
  <si>
    <t>Criterion 1.2</t>
  </si>
  <si>
    <t>Criterion 1.3</t>
  </si>
  <si>
    <t>Non-core</t>
  </si>
  <si>
    <t>Criterion 1.4</t>
  </si>
  <si>
    <t>Criterion 2.1</t>
  </si>
  <si>
    <t>To comply with ILO labour conventions governing child labour, forced labour, discrimination and freedom of association and the right to collective bargaining.</t>
  </si>
  <si>
    <t>Respect Human Rights and Labour Standards</t>
  </si>
  <si>
    <t xml:space="preserve">Company Results 2.1.3 </t>
  </si>
  <si>
    <t>Right to water and sanitation safeguards are designed implemented and enforced</t>
  </si>
  <si>
    <t>Company Results 2.1.4</t>
  </si>
  <si>
    <t>Appropriate personal protective equipment supplied to and used by all workers free of charge</t>
  </si>
  <si>
    <t>Company Results 2.1.5</t>
  </si>
  <si>
    <t>Percentage of staff trained for health and safety at start and a refresher course at least every year</t>
  </si>
  <si>
    <t xml:space="preserve">Company Results 2.1.6 </t>
  </si>
  <si>
    <t>All workers have access to first aid and provision for emergency response</t>
  </si>
  <si>
    <t>Company Results 2.1.7</t>
  </si>
  <si>
    <t>Lost time accident frequency</t>
  </si>
  <si>
    <t>Criterion 2.2</t>
  </si>
  <si>
    <t>To provide a safe and healthy working environment in work place operations.</t>
  </si>
  <si>
    <t>% of normal rate</t>
  </si>
  <si>
    <t>Company Results 2.3.1</t>
  </si>
  <si>
    <t>Absence of discrimination</t>
  </si>
  <si>
    <t>Criterion 2.3</t>
  </si>
  <si>
    <t>Company Results 2.3.2</t>
  </si>
  <si>
    <t>Absence of abuse/ harassment</t>
  </si>
  <si>
    <t>Company Results 2.3.3</t>
  </si>
  <si>
    <t xml:space="preserve"> Debt bondage, trafficking, and forced/compulsory labour are absent</t>
  </si>
  <si>
    <t>Company Results 2.3.4</t>
  </si>
  <si>
    <t>Minimum age of workers</t>
  </si>
  <si>
    <t>Company Results 2.3.5</t>
  </si>
  <si>
    <t xml:space="preserve">Adequate accommodation is provided </t>
  </si>
  <si>
    <t>Company Results 2.4.1</t>
  </si>
  <si>
    <t>Respect the right of all workers to form and join trade unions and/or to bargain collectively free from interference  from the operator</t>
  </si>
  <si>
    <t>Criterion 2.4</t>
  </si>
  <si>
    <t>Company Results 2.4.2</t>
  </si>
  <si>
    <t>Social Dialogue promotes consultation and information exchange between and among employers’ and workers’ organizations</t>
  </si>
  <si>
    <t>Company Results 2.4.3</t>
  </si>
  <si>
    <t>Grievance mechanism for workers are in place</t>
  </si>
  <si>
    <t>Company Results 3.1.1</t>
  </si>
  <si>
    <t>Yield of production</t>
  </si>
  <si>
    <t>Criterion 3.1</t>
  </si>
  <si>
    <t>Company Results 3.1.2</t>
  </si>
  <si>
    <t>Theoretical recoverable sugar content of cane</t>
  </si>
  <si>
    <t>Company Results 3.1.3</t>
  </si>
  <si>
    <t>Fermentable total sugars content of cane, expressed as invert (TSAI)</t>
  </si>
  <si>
    <t>Company Results 3.1.4</t>
  </si>
  <si>
    <t>Efficiency of harvesting operations</t>
  </si>
  <si>
    <t>Company Results 3.2.1</t>
  </si>
  <si>
    <t>Climate change adaptation and resilience plan</t>
  </si>
  <si>
    <t>Criterion 3.2</t>
  </si>
  <si>
    <t>Company Results 4.1.1</t>
  </si>
  <si>
    <t>Criterion 4.1</t>
  </si>
  <si>
    <t>Company Results 4.1.2</t>
  </si>
  <si>
    <t>Company Results 4.1.3</t>
  </si>
  <si>
    <t>Company Results 4.1.4</t>
  </si>
  <si>
    <t>Company Results 4.1.5</t>
  </si>
  <si>
    <t>Company Results 4.2.1</t>
  </si>
  <si>
    <t>Criterion 4.2</t>
  </si>
  <si>
    <t>Company Results 4.2.2</t>
  </si>
  <si>
    <t>Company Results 4.2.3</t>
  </si>
  <si>
    <t>Company Results 4.2.5</t>
  </si>
  <si>
    <t>Company Results 4.2.6</t>
  </si>
  <si>
    <t>Company Results 4.2.7</t>
  </si>
  <si>
    <t>Company Results 4.3.1</t>
  </si>
  <si>
    <t>Criterion 4.3</t>
  </si>
  <si>
    <t>Company Results 4.3.2</t>
  </si>
  <si>
    <t>Company Results 4.3.3</t>
  </si>
  <si>
    <t>Company Results 4.3.5</t>
  </si>
  <si>
    <t>Company Results 4.4.1</t>
  </si>
  <si>
    <t>Criterion 4.4</t>
  </si>
  <si>
    <t>Company Results 4.4.2</t>
  </si>
  <si>
    <t>Company Results 4.4.3</t>
  </si>
  <si>
    <t>Company Results 4.4.4</t>
  </si>
  <si>
    <t>Company Results 4.4.5</t>
  </si>
  <si>
    <t>Company Results 4.5.1</t>
  </si>
  <si>
    <t>Criterion 4.5</t>
  </si>
  <si>
    <t>Company Results 4.5.2</t>
  </si>
  <si>
    <t>Criterion 5.1</t>
  </si>
  <si>
    <t>Criterion 5.2</t>
  </si>
  <si>
    <t>Criterion 5.3</t>
  </si>
  <si>
    <t>Criterion 5.4</t>
  </si>
  <si>
    <t>MILLING</t>
  </si>
  <si>
    <t xml:space="preserve">Company Results 2.2.1 </t>
  </si>
  <si>
    <t>Company Results 2.2.2</t>
  </si>
  <si>
    <t>Company Results 2.2.3</t>
  </si>
  <si>
    <t xml:space="preserve">Company Results 2.2.4 </t>
  </si>
  <si>
    <t>Company Results 2.2.5</t>
  </si>
  <si>
    <t>Company Results 2.2.6</t>
  </si>
  <si>
    <t>Company Results 2.3.6</t>
  </si>
  <si>
    <t>Company Results 3.1.5</t>
  </si>
  <si>
    <t>Company Results 3.1.6</t>
  </si>
  <si>
    <t>Company Results 3.1.7</t>
  </si>
  <si>
    <t>Company Results 4.1.6</t>
  </si>
  <si>
    <t>Company Results 4.3.4</t>
  </si>
  <si>
    <t>Company Results 4.3.6</t>
  </si>
  <si>
    <t>WHOLE SUPPLY AREA</t>
  </si>
  <si>
    <t>DISPL</t>
  </si>
  <si>
    <t>Calc v5.1.1ENG</t>
  </si>
  <si>
    <t>Data Input Sheet</t>
  </si>
  <si>
    <t xml:space="preserve">Bonsucro indicators are calculated on different pages for principles 1, 2, 3, 4 and 5, and separated between grower and miller requirements. A separate page for transport of cane is included, since it may be either a grower or a miller responsibility.
</t>
  </si>
  <si>
    <t>Data entered is for one year. Data can only be entered by filling in the yellow fields here, and the data is transferred to the yellow fields on the following spreadsheets. By completing the Bonsucro calculator and submitting to Bonsucro or a certification body, you are giving Bonsucro permission to access individual mill data and use the data publicly in aggregated form, including transfer to Bonsucro Connect which may be hosted by a third party. The third party host will be subject to the same rules as Bonsucro.</t>
  </si>
  <si>
    <t>Indicator Reference</t>
  </si>
  <si>
    <t>Company General Data</t>
  </si>
  <si>
    <t>Input</t>
  </si>
  <si>
    <t>Verifier</t>
  </si>
  <si>
    <t>Personnal notes</t>
  </si>
  <si>
    <t>Description</t>
  </si>
  <si>
    <t>Total production</t>
  </si>
  <si>
    <t>Certifiable production only</t>
  </si>
  <si>
    <t>GEN</t>
  </si>
  <si>
    <t>GEN.NAME</t>
  </si>
  <si>
    <t>Name of the Company</t>
  </si>
  <si>
    <t>GEN.CERTYEAR</t>
  </si>
  <si>
    <t>Year of certification</t>
  </si>
  <si>
    <t>initial certifcation please fill 0, the second year of certification pelase fill 1, and so on. For operators already certified at publication of v6, enter 0 for your first audit against v6, 1 for the next one and so on</t>
  </si>
  <si>
    <t>*</t>
  </si>
  <si>
    <t>GEN.START</t>
  </si>
  <si>
    <t>Start date of assessment</t>
  </si>
  <si>
    <t>Format: mm/yy</t>
  </si>
  <si>
    <t>GEN.END</t>
  </si>
  <si>
    <t>End date of assessment</t>
  </si>
  <si>
    <t>GEN.CURRENCY</t>
  </si>
  <si>
    <t>Currency used</t>
  </si>
  <si>
    <t>You can choose the currency of your country; a conversion to US $ is done later in the spreadsheets</t>
  </si>
  <si>
    <t>GEN.EXCHANGERATE</t>
  </si>
  <si>
    <t>Currency exchange rate from USD (1$ = ?)</t>
  </si>
  <si>
    <r>
      <t>www.xe.com</t>
    </r>
    <r>
      <rPr>
        <sz val="8"/>
        <rFont val="Trebuchet MS"/>
        <family val="2"/>
      </rPr>
      <t>, average over the reporting period</t>
    </r>
  </si>
  <si>
    <t>GEN.SUGPROD</t>
  </si>
  <si>
    <t>Sugarcane production (unit of certification)</t>
  </si>
  <si>
    <t>tonnes</t>
  </si>
  <si>
    <t xml:space="preserve">This should be the total amount of cane harvest from the farms within the unit of certification </t>
  </si>
  <si>
    <t>GEN.CANEAREA</t>
  </si>
  <si>
    <t>Area planted to cane and seed (unit of certification)</t>
  </si>
  <si>
    <t>ha</t>
  </si>
  <si>
    <t>This is area to be certified. It should not include roads, fire breaks etc. Includes harvested and non harvested area.</t>
  </si>
  <si>
    <t>GEN.SUPPLYAREA</t>
  </si>
  <si>
    <t>Total supplying area to the mill</t>
  </si>
  <si>
    <t>The is the total area supplying cane to the mill (inside and outside the unit of certification, own land, rented, independent farms) - for statistical use only</t>
  </si>
  <si>
    <t>GEN.CANEPROC</t>
  </si>
  <si>
    <t xml:space="preserve">Total Sugarcane processed </t>
  </si>
  <si>
    <t>This should be the total amount of cane processed at the mill</t>
  </si>
  <si>
    <t>GEN.SUGPROC</t>
  </si>
  <si>
    <t xml:space="preserve">Total Sugar production </t>
  </si>
  <si>
    <t>This should be the total amount of sugar produced at the mill</t>
  </si>
  <si>
    <t>GEN.ETHPROD</t>
  </si>
  <si>
    <t>Total Ethanol production</t>
  </si>
  <si>
    <r>
      <t>m</t>
    </r>
    <r>
      <rPr>
        <vertAlign val="superscript"/>
        <sz val="8"/>
        <color theme="1"/>
        <rFont val="Trebuchet MS"/>
        <family val="2"/>
      </rPr>
      <t>3</t>
    </r>
  </si>
  <si>
    <t>Total volume of alcohol product (enter 0 if no ethanol produced)</t>
  </si>
  <si>
    <t>GEN.MOLPROD</t>
  </si>
  <si>
    <t>Total Molasses production</t>
  </si>
  <si>
    <t>GEN.FUSPROD</t>
  </si>
  <si>
    <t>Total Fusel oil production</t>
  </si>
  <si>
    <t>L</t>
  </si>
  <si>
    <t>GEN.YEAPROD</t>
  </si>
  <si>
    <t>Total Yeast production</t>
  </si>
  <si>
    <t>GEN.OTHPROD</t>
  </si>
  <si>
    <t>Total Others products production</t>
  </si>
  <si>
    <t>Agriculture</t>
  </si>
  <si>
    <t>AG.SUSTAINABILITYPOLICY</t>
  </si>
  <si>
    <t>1.1.1</t>
  </si>
  <si>
    <t>Sustainability policy in place</t>
  </si>
  <si>
    <t>Yes</t>
  </si>
  <si>
    <t>Yes/No</t>
  </si>
  <si>
    <t>AG.STAKEHOLDERMAP</t>
  </si>
  <si>
    <t>1.2.1</t>
  </si>
  <si>
    <t>Mapping of stakeholders is conducted</t>
  </si>
  <si>
    <t>AG.RISKIMPACTASSESSMENT</t>
  </si>
  <si>
    <t>1.2.2</t>
  </si>
  <si>
    <t>Risk and Impact Assessment are conducted</t>
  </si>
  <si>
    <t>AG.MANAGEMENTPLAN</t>
  </si>
  <si>
    <t>1.3.1</t>
  </si>
  <si>
    <t>Management Plans are developed and Implemented</t>
  </si>
  <si>
    <t>AG.STANDARDPROCEDURE</t>
  </si>
  <si>
    <t>1.3.2</t>
  </si>
  <si>
    <t>Standard Operating Procedures are in place</t>
  </si>
  <si>
    <t>AG.LAWCOMPLY</t>
  </si>
  <si>
    <t>1.3.3</t>
  </si>
  <si>
    <t>system in place to demostrate compliance with applicable laws, commitments, rights &amp; other requirments</t>
  </si>
  <si>
    <t>AG.FPIC</t>
  </si>
  <si>
    <t>1.3.4</t>
  </si>
  <si>
    <t>Use of land and resources does not diminish rights of other users without their FPIC</t>
  </si>
  <si>
    <t>AG.CORRECTIVEACTION</t>
  </si>
  <si>
    <t>1.4.1</t>
  </si>
  <si>
    <t>Corrective actions are implemented, and management review conducted</t>
  </si>
  <si>
    <t>AG.CONTESTEDLAND</t>
  </si>
  <si>
    <t>1.4.2</t>
  </si>
  <si>
    <t>Land that is legitimately contested by other users</t>
  </si>
  <si>
    <t>A legitimate contest is defined as a conflict that has been registered and accepted by a recognised justice system</t>
  </si>
  <si>
    <t>AG.CONTESTEDWATER</t>
  </si>
  <si>
    <t>Water that is legitimately contested by other users</t>
  </si>
  <si>
    <t>m3</t>
  </si>
  <si>
    <t>AG.GRIEVANCEMECHANISM</t>
  </si>
  <si>
    <t>1.4.3</t>
  </si>
  <si>
    <t>Grievance mechanism for communities in place</t>
  </si>
  <si>
    <t xml:space="preserve">AG.HSADOC </t>
  </si>
  <si>
    <t>2.1.1</t>
  </si>
  <si>
    <t>Is there a documented assessment of the main health and safety risks?</t>
  </si>
  <si>
    <t>Applies to all staff on premises</t>
  </si>
  <si>
    <t xml:space="preserve">AG.HSACOM </t>
  </si>
  <si>
    <t xml:space="preserve">Has the health &amp; safety assessment been communicated to workers? </t>
  </si>
  <si>
    <t xml:space="preserve">AG.OEMR </t>
  </si>
  <si>
    <t>2.1.2</t>
  </si>
  <si>
    <t>Are occupational, environmental and medical risks identified during screening managed in line with global best practice?</t>
  </si>
  <si>
    <t>AG.SANITATION</t>
  </si>
  <si>
    <t>2.1.3</t>
  </si>
  <si>
    <t>Does each worker have access to sufficient sanitation facilities in the field?</t>
  </si>
  <si>
    <t>AG.DRINKWATSAFE</t>
  </si>
  <si>
    <t>Does each worker have access to water in sufficient quantity?</t>
  </si>
  <si>
    <t xml:space="preserve">AG.SUFFICIENTSANITATION </t>
  </si>
  <si>
    <t>Does each worker have access to sufficient sanitation facilities?</t>
  </si>
  <si>
    <t>AG.PROTECTIVEEQ</t>
  </si>
  <si>
    <t>2.1.4</t>
  </si>
  <si>
    <t>Is appropriate personal protective equipment supplied and used?</t>
  </si>
  <si>
    <t>AG.HASPERC</t>
  </si>
  <si>
    <t>2.1.5</t>
  </si>
  <si>
    <t xml:space="preserve">Percentage of personnel trained for health and safety this year. </t>
  </si>
  <si>
    <t>AG.FIRSTAIDACC</t>
  </si>
  <si>
    <t>2.1.6</t>
  </si>
  <si>
    <t>Have all workers access to first aid and is there provision for emergency response?</t>
  </si>
  <si>
    <t>AG.OCCUINJURY</t>
  </si>
  <si>
    <t>2.1.7</t>
  </si>
  <si>
    <t>Number of occupational injuries (accidents)</t>
  </si>
  <si>
    <t>AG.HOURSWORKED</t>
  </si>
  <si>
    <t>Total numbers of hours worked (man hours; direct employees)</t>
  </si>
  <si>
    <t>hours</t>
  </si>
  <si>
    <t>Applies to direct employees only (on premises).</t>
  </si>
  <si>
    <t>AG.HOURSWORKEDSUB</t>
  </si>
  <si>
    <t>Total numbers of hours worked (man hours; sub-contracted work)</t>
  </si>
  <si>
    <t>Applies to contracted workers only (on premises).</t>
  </si>
  <si>
    <t>AG.FATALINJURIES</t>
  </si>
  <si>
    <t>Number of fatal injuries</t>
  </si>
  <si>
    <t>AG.CONTRACTEXIST</t>
  </si>
  <si>
    <t>2.2.1</t>
  </si>
  <si>
    <t>Percentage of workers with contract or equivalent document</t>
  </si>
  <si>
    <t>AG.LAWMAXHOURS</t>
  </si>
  <si>
    <t>2.2.2</t>
  </si>
  <si>
    <t>Does the law frame maximum hours of work?</t>
  </si>
  <si>
    <t>AG.LAWMAXHOURSWEEK</t>
  </si>
  <si>
    <t>Maximum number of hours of work allowed by law per week</t>
  </si>
  <si>
    <t>Input maximum number as per national law or local sector agreement</t>
  </si>
  <si>
    <t>AG.RESTDAY</t>
  </si>
  <si>
    <t>one day rest per week or 2 in 14 days</t>
  </si>
  <si>
    <t>AG.MAXHOURSDAY</t>
  </si>
  <si>
    <t>Maximum hours work in a day</t>
  </si>
  <si>
    <t>AG.MAXHOURSWEEK</t>
  </si>
  <si>
    <t>Maximum number of hours actually worked per week</t>
  </si>
  <si>
    <t>Report the maximum number of hour worked observed</t>
  </si>
  <si>
    <t>AG.OVERTIME</t>
  </si>
  <si>
    <t>2.2.3</t>
  </si>
  <si>
    <t>Percentage of overtime premium</t>
  </si>
  <si>
    <t>calculated by dividing overtime rate / normal rate</t>
  </si>
  <si>
    <t>AG.LOWESTWAGE</t>
  </si>
  <si>
    <t>2.2.4</t>
  </si>
  <si>
    <t>Lowest entry level wage including benefits for waged workers</t>
  </si>
  <si>
    <t>AG.MINIMUMWAGE</t>
  </si>
  <si>
    <t>Minimum legal wage including benefit for waged workers</t>
  </si>
  <si>
    <t>AG.LOWESTWAGEPIECE</t>
  </si>
  <si>
    <t>2.2.5</t>
  </si>
  <si>
    <t>Lowest wage including benefits for piece rate workers</t>
  </si>
  <si>
    <t>AG.LOWESTWAGEFIRST</t>
  </si>
  <si>
    <t>2.2.6</t>
  </si>
  <si>
    <t>Lowest entry level wage including benefits (initial certification)</t>
  </si>
  <si>
    <t>AG.LIVINGWAGEREF</t>
  </si>
  <si>
    <t>Living wage reference</t>
  </si>
  <si>
    <t>AG.NODISCRIM</t>
  </si>
  <si>
    <t>2.3.1</t>
  </si>
  <si>
    <t>AG.ABUSEABSENT</t>
  </si>
  <si>
    <t>2.3.2</t>
  </si>
  <si>
    <t>Abuse / harrasment is absent</t>
  </si>
  <si>
    <t>AG.NOFORCEDLAB</t>
  </si>
  <si>
    <t>2.3.3</t>
  </si>
  <si>
    <t>Absence debt bondage, trafficking &amp; forced/compulsory labour</t>
  </si>
  <si>
    <t>AG.AGEWORRESTRICTION</t>
  </si>
  <si>
    <t>2.3.4</t>
  </si>
  <si>
    <t>if presence of workers aged 16-18, are restriction in place</t>
  </si>
  <si>
    <t>AG.WORKMINAGE</t>
  </si>
  <si>
    <t>Worker minimum age</t>
  </si>
  <si>
    <t>years</t>
  </si>
  <si>
    <t>AG.ACCOMODATION</t>
  </si>
  <si>
    <t>2.3.5</t>
  </si>
  <si>
    <t xml:space="preserve">Total number accomodation provided </t>
  </si>
  <si>
    <t>AG.DECENTACCOMODATION</t>
  </si>
  <si>
    <t>Total number accomodation prodived that are decent</t>
  </si>
  <si>
    <t>AG.TRADEUNIONSR</t>
  </si>
  <si>
    <t>2.4.1</t>
  </si>
  <si>
    <t>Is the right of all personnel to form and join trade unions and/or to bargain collectively repected?</t>
  </si>
  <si>
    <t>AG.DIALOGUEWORKER</t>
  </si>
  <si>
    <t>2.4.2</t>
  </si>
  <si>
    <t>Regular dialogue takes place with workers</t>
  </si>
  <si>
    <t>AG.GRIEVANCE</t>
  </si>
  <si>
    <t>2.4.3</t>
  </si>
  <si>
    <t>Grievance mechanism for workers in place</t>
  </si>
  <si>
    <t>AG.HARVAREAIRR</t>
  </si>
  <si>
    <t>3.1.1</t>
  </si>
  <si>
    <t>Area harvested (irrigated)</t>
  </si>
  <si>
    <t>Irrigated means systems that rely on external waters to grow. Includes all strategies of irrigation (supplementary or full)</t>
  </si>
  <si>
    <t>AG.CANEYIELDIRR</t>
  </si>
  <si>
    <t>Sugarcane harvested  (irrigated)</t>
  </si>
  <si>
    <t>t cane</t>
  </si>
  <si>
    <t>AG.AVAGEIRR</t>
  </si>
  <si>
    <t>Average age at harvest (irrigated)</t>
  </si>
  <si>
    <t>months</t>
  </si>
  <si>
    <t>AG.HARVAREADRY</t>
  </si>
  <si>
    <t xml:space="preserve">Area harvested (dryland) </t>
  </si>
  <si>
    <t>Dryland means systems where no external waters are added</t>
  </si>
  <si>
    <t>AG.CANEYIELDDRY</t>
  </si>
  <si>
    <t xml:space="preserve">Sugarcane harvested (dryland) </t>
  </si>
  <si>
    <t>AG.AVAGEDRY</t>
  </si>
  <si>
    <t>Average age at harvest (dryland)</t>
  </si>
  <si>
    <t>AG.STDVALIRR</t>
  </si>
  <si>
    <t xml:space="preserve">Standard value for sugarcane yield (irrigated). </t>
  </si>
  <si>
    <t>t cane / ha harvested</t>
  </si>
  <si>
    <t>Depends on climatic zone of the mill supply area. See Bonsucro website: http://bonsucro.com/site/production-standard/climatic-zones/</t>
  </si>
  <si>
    <t>AG.STDVALDRY</t>
  </si>
  <si>
    <t xml:space="preserve">Standard value for sugarcane yield (dry land). </t>
  </si>
  <si>
    <t>AG.CANEFIBRE</t>
  </si>
  <si>
    <t>3.1.2</t>
  </si>
  <si>
    <t xml:space="preserve">Fibre content of cane </t>
  </si>
  <si>
    <t>AG.RAWJUICEPURITY</t>
  </si>
  <si>
    <t>Raw juice purity</t>
  </si>
  <si>
    <t>AG.CANESUCROSE</t>
  </si>
  <si>
    <t>Sucrose content of cane</t>
  </si>
  <si>
    <t>AG.REDUCINGSUGARS</t>
  </si>
  <si>
    <t>3.1.3</t>
  </si>
  <si>
    <t>Total sugars content of cane expressed as reducing sugars</t>
  </si>
  <si>
    <t>Used if ethanol is produced. If you don't have this value,  fill in the next cell the reducing sugar / sucrose ratio in cane or raw juice, in order to calculate it.</t>
  </si>
  <si>
    <t>AG.REDTOSUCRATIO</t>
  </si>
  <si>
    <t>Reducing sugar / sucrose ratio in cane</t>
  </si>
  <si>
    <t>Must be obtained from laboratory analysis</t>
  </si>
  <si>
    <t>AG</t>
  </si>
  <si>
    <t>AG.AREAMECHANICAL</t>
  </si>
  <si>
    <t>3.1.4</t>
  </si>
  <si>
    <t>Area mechanically harvested</t>
  </si>
  <si>
    <t>AG.AREAMANUAL</t>
  </si>
  <si>
    <t>Area manually harvested</t>
  </si>
  <si>
    <t>AG.AREAGREEN</t>
  </si>
  <si>
    <t>Area manually (green) harvested</t>
  </si>
  <si>
    <t>AG.TIMEMECH</t>
  </si>
  <si>
    <t>Average time in hours from harvest to crush (mechanical)</t>
  </si>
  <si>
    <t>hr</t>
  </si>
  <si>
    <t>AG.TIMEGREEN</t>
  </si>
  <si>
    <t>Average time in hours from harvest to crush (green manual)</t>
  </si>
  <si>
    <t>AG.TIMEBURN</t>
  </si>
  <si>
    <t>Average time in hours from burn to crush</t>
  </si>
  <si>
    <t>AG.AREADEV01081</t>
  </si>
  <si>
    <t xml:space="preserve">Area developed after 1 January 2008 </t>
  </si>
  <si>
    <t>AG.HERBAPP</t>
  </si>
  <si>
    <t>Herbicide application rate</t>
  </si>
  <si>
    <t>kg / ha</t>
  </si>
  <si>
    <t>Total use per annum /total area under cane (active ingredient)</t>
  </si>
  <si>
    <t>AG.HERBAPPAREA</t>
  </si>
  <si>
    <t>Area treated with Herbicide</t>
  </si>
  <si>
    <t>AG.INSAPP</t>
  </si>
  <si>
    <t>Pesticide application rate</t>
  </si>
  <si>
    <t>AG.INSAPPAREA</t>
  </si>
  <si>
    <t>Area treated with Pesticide</t>
  </si>
  <si>
    <t>AG.RIPENAPP</t>
  </si>
  <si>
    <t>Ripener application rate</t>
  </si>
  <si>
    <t>AG.RIPENAPPAREA</t>
  </si>
  <si>
    <t>Area treated with Ripener</t>
  </si>
  <si>
    <t>AG.OTHERCHEMAPP</t>
  </si>
  <si>
    <t>Application rate other crop chemicals</t>
  </si>
  <si>
    <t>AG.OTHERCHEMAPPAREA</t>
  </si>
  <si>
    <t>Area treated with other chemicals</t>
  </si>
  <si>
    <t>AG.GASUSEDAG</t>
  </si>
  <si>
    <t>Gasoline used in agriculture</t>
  </si>
  <si>
    <t xml:space="preserve">L  </t>
  </si>
  <si>
    <t>E.g. Trucks, irrigation pumps, machinery, etc. Fuel used in transport of workers to be excluded.</t>
  </si>
  <si>
    <t>AG.DIEUSEDAG</t>
  </si>
  <si>
    <t>Diesel used in agriculture</t>
  </si>
  <si>
    <t>Include diesel used in irrigation. Fuel used in transport of workers to be excluded.</t>
  </si>
  <si>
    <t>AG.LHVDIE</t>
  </si>
  <si>
    <t>Diesel Energy per liter (LHV)</t>
  </si>
  <si>
    <t>MJ / L</t>
  </si>
  <si>
    <t>Default value is 37.84 MJ/L. A more representative value for local fuel may be used if available.</t>
  </si>
  <si>
    <t>AG.NGASUSEDAG</t>
  </si>
  <si>
    <t>Natural gas used in agriculture</t>
  </si>
  <si>
    <t>MJ / ha</t>
  </si>
  <si>
    <t>AG.ELEUSEDAG</t>
  </si>
  <si>
    <t>Electric power used in agriculture</t>
  </si>
  <si>
    <t>MWh</t>
  </si>
  <si>
    <t>Excluding irrigation</t>
  </si>
  <si>
    <t>AG.EMMFACTORELE</t>
  </si>
  <si>
    <t>Emission factor for electricity generation</t>
  </si>
  <si>
    <r>
      <t>g CO</t>
    </r>
    <r>
      <rPr>
        <vertAlign val="subscript"/>
        <sz val="8"/>
        <rFont val="Trebuchet MS"/>
        <family val="2"/>
      </rPr>
      <t xml:space="preserve">2 </t>
    </r>
    <r>
      <rPr>
        <sz val="8"/>
        <rFont val="Trebuchet MS"/>
        <family val="2"/>
      </rPr>
      <t>/ MJ</t>
    </r>
  </si>
  <si>
    <t>Use the table Emissions factor for electricity generation, in kg CO2/MJ, pages 107-108 of the Bonsucro Production Standard Guidance Document to enter Grid Average for your country. 
If your country is not listed, research alternative source of information to define your country value. 
As a last resort use the reference for a country in the same region (Grid Average Table in Bonsucro Production Standard Guidance Document).</t>
  </si>
  <si>
    <t>AG.ELEINIRR</t>
  </si>
  <si>
    <t>Electric power used in irrigation</t>
  </si>
  <si>
    <t>Include power used in distributing vinasse, where applicable</t>
  </si>
  <si>
    <t>Aerial spraying (enter lines 46-47 OR lines 49-50)</t>
  </si>
  <si>
    <t>AG.FUELSPRAY</t>
  </si>
  <si>
    <t xml:space="preserve">Total fuel consumption of aircraft </t>
  </si>
  <si>
    <t>AG.FUELENERGY</t>
  </si>
  <si>
    <t xml:space="preserve">Fuel energy per litre </t>
  </si>
  <si>
    <t>For alternative way of aerial spraying calculation</t>
  </si>
  <si>
    <t>AG.SPRAYAREA</t>
  </si>
  <si>
    <t xml:space="preserve">Spraying area </t>
  </si>
  <si>
    <t>AG.SPRAYFREQ</t>
  </si>
  <si>
    <t xml:space="preserve">Frequency of aerial spraying </t>
  </si>
  <si>
    <t xml:space="preserve">The number of operations per year </t>
  </si>
  <si>
    <t>AG.CANEBURNT</t>
  </si>
  <si>
    <t>Sugarcane burnt</t>
  </si>
  <si>
    <t>Including accidental burning</t>
  </si>
  <si>
    <t>AG.TOTALEM</t>
  </si>
  <si>
    <t>Total EM (Extraneous Matter)</t>
  </si>
  <si>
    <t>kg DM / t cane</t>
  </si>
  <si>
    <t xml:space="preserve">EM includes all extraneous matter associated with clean cane. DM = Dry Matter.  If this value is unkown, use the default value of 140 kg DM / t cane  </t>
  </si>
  <si>
    <t>AG.EMMILLCANE</t>
  </si>
  <si>
    <t xml:space="preserve">EM in cane delivered to mill </t>
  </si>
  <si>
    <t>t / 100 t cane</t>
  </si>
  <si>
    <t>AG.FILTERCAKEFIELD</t>
  </si>
  <si>
    <t xml:space="preserve">Filter Cake applied to cane fields </t>
  </si>
  <si>
    <t xml:space="preserve">t </t>
  </si>
  <si>
    <t>AG.VINASSE</t>
  </si>
  <si>
    <t>Vinasse applied to cane</t>
  </si>
  <si>
    <t>AG.CAPITAL</t>
  </si>
  <si>
    <t>Capital (plant and equipment) - zero default value - no input required.</t>
  </si>
  <si>
    <r>
      <t>g CO</t>
    </r>
    <r>
      <rPr>
        <vertAlign val="subscript"/>
        <sz val="8"/>
        <color theme="1"/>
        <rFont val="Trebuchet MS"/>
        <family val="2"/>
      </rPr>
      <t xml:space="preserve">2 </t>
    </r>
    <r>
      <rPr>
        <sz val="8"/>
        <color theme="1"/>
        <rFont val="Trebuchet MS"/>
        <family val="2"/>
      </rPr>
      <t>eq / t cane</t>
    </r>
  </si>
  <si>
    <t>Assumed to be zero, according to EU protocol</t>
  </si>
  <si>
    <t>AG.CLIMATEPLAN</t>
  </si>
  <si>
    <t>3.2.1</t>
  </si>
  <si>
    <t>climate change adaption and resilience plan is set up</t>
  </si>
  <si>
    <t>AG.NAPPAREA</t>
  </si>
  <si>
    <t>3.2.2</t>
  </si>
  <si>
    <t>Total area N fertilizer applied</t>
  </si>
  <si>
    <t>AG.P2O5APPAREA</t>
  </si>
  <si>
    <t>Total area P2O5 fertilizer applied</t>
  </si>
  <si>
    <t>AG.K2OAPP</t>
  </si>
  <si>
    <r>
      <t>Total K</t>
    </r>
    <r>
      <rPr>
        <vertAlign val="subscript"/>
        <sz val="8"/>
        <rFont val="Trebuchet MS"/>
        <family val="2"/>
      </rPr>
      <t>2</t>
    </r>
    <r>
      <rPr>
        <sz val="8"/>
        <rFont val="Trebuchet MS"/>
        <family val="2"/>
      </rPr>
      <t>O fertilizer applied</t>
    </r>
  </si>
  <si>
    <t>kg</t>
  </si>
  <si>
    <t>Obtained by multiplying application for each soil type by area of each soil type (application rate 1 * ha 1 + application rate 2 * ha 2…)</t>
  </si>
  <si>
    <t>AG.K2OAPPAREA</t>
  </si>
  <si>
    <r>
      <t>Total area K</t>
    </r>
    <r>
      <rPr>
        <vertAlign val="subscript"/>
        <sz val="8"/>
        <rFont val="Trebuchet MS"/>
        <family val="2"/>
      </rPr>
      <t>2</t>
    </r>
    <r>
      <rPr>
        <sz val="8"/>
        <rFont val="Trebuchet MS"/>
        <family val="2"/>
      </rPr>
      <t>O fertilizer applied</t>
    </r>
  </si>
  <si>
    <t>AG.LIMEAPP</t>
  </si>
  <si>
    <t xml:space="preserve">Total Lime applied </t>
  </si>
  <si>
    <t>AG.LIMEAPPAREA</t>
  </si>
  <si>
    <t>Total area Lime applied</t>
  </si>
  <si>
    <r>
      <t>Lime refers to (CaCO</t>
    </r>
    <r>
      <rPr>
        <vertAlign val="subscript"/>
        <sz val="8"/>
        <color theme="1"/>
        <rFont val="Trebuchet MS"/>
        <family val="2"/>
      </rPr>
      <t>3</t>
    </r>
    <r>
      <rPr>
        <sz val="8"/>
        <color theme="1"/>
        <rFont val="Trebuchet MS"/>
        <family val="2"/>
      </rPr>
      <t>)</t>
    </r>
  </si>
  <si>
    <t>AG.ELEEFF</t>
  </si>
  <si>
    <t>3.2.7</t>
  </si>
  <si>
    <t>Energy efficiency of electric power supplied</t>
  </si>
  <si>
    <t>To be obtained from local energy supplier. If not available, use 40 % for new units (after 2000) or 37.5 % for old units (Ref. CDM; UNFCC/CCNUCC). If unknown, use 37.5%</t>
  </si>
  <si>
    <t>AG.BIOSERVICE</t>
  </si>
  <si>
    <t>Biodiversity and ecosystem services on and around farmed mapped</t>
  </si>
  <si>
    <t>AG.BIOMANPLAN</t>
  </si>
  <si>
    <t>Biodiversity management plan is implemented</t>
  </si>
  <si>
    <t>AG.BIOECOSERVICE</t>
  </si>
  <si>
    <t>4.1.2</t>
  </si>
  <si>
    <t>Biodiversity and Ecocystem Services maintained on and around the farm?</t>
  </si>
  <si>
    <t>AG.AREADEVHCV01081</t>
  </si>
  <si>
    <t xml:space="preserve">Area developed after 1 January 2008 classified as legally protected </t>
  </si>
  <si>
    <t>AG.EIMPPERC</t>
  </si>
  <si>
    <t>% of Environmental Impact and Management Plan (EIMP) issues addressed</t>
  </si>
  <si>
    <t xml:space="preserve">Enviromnental Impact and Management Plan has 10 categories: biodiversity, ecosystem services, soil, water, air, climate change, use of crop protection chemicals, use of articifial fertilisers, cane burning and noise. </t>
  </si>
  <si>
    <t>AG.HCVAREARISKRATE</t>
  </si>
  <si>
    <t xml:space="preserve">Area covered by HCV risk assessment and mitigation action plan </t>
  </si>
  <si>
    <t>AG.AREA1STOR2022</t>
  </si>
  <si>
    <t xml:space="preserve">Area developed since 1st certification or 2022 if already certified </t>
  </si>
  <si>
    <t>AG.HCVAREATOCANE</t>
  </si>
  <si>
    <t>HCV areas converted to sugarcane</t>
  </si>
  <si>
    <t>AG.OPERATIONCHANGE</t>
  </si>
  <si>
    <t>4.1.5</t>
  </si>
  <si>
    <t xml:space="preserve">Has there been  major changes to the operation, significant field expansions or establishment of new sugar operations in the last 12 months. </t>
  </si>
  <si>
    <t>AG.AREAEXPAND12</t>
  </si>
  <si>
    <t xml:space="preserve">Area expanded over last 12 months? </t>
  </si>
  <si>
    <t>AG.AREAIMPACT12</t>
  </si>
  <si>
    <t xml:space="preserve">Area impacted by major changes over last 12 months? </t>
  </si>
  <si>
    <t>AG.ESIAIMPACT</t>
  </si>
  <si>
    <t>Area expanded or impacted covered by ESIA?</t>
  </si>
  <si>
    <t>AG.SOILMANAGEMENT</t>
  </si>
  <si>
    <t>4.2.1</t>
  </si>
  <si>
    <t>Soil management Plan is implemented</t>
  </si>
  <si>
    <t>AG.OBSOIL</t>
  </si>
  <si>
    <t>4.2.2</t>
  </si>
  <si>
    <t>Soil cover objective average</t>
  </si>
  <si>
    <t>AG.OBORGANICMATTER</t>
  </si>
  <si>
    <t>organic matter objective average</t>
  </si>
  <si>
    <t xml:space="preserve">AG.OBSOILACIDITY </t>
  </si>
  <si>
    <t xml:space="preserve">soil acidity objective average </t>
  </si>
  <si>
    <t>pH</t>
  </si>
  <si>
    <t xml:space="preserve">AG.OBSALINTY </t>
  </si>
  <si>
    <t>salinity / sodicity objective average</t>
  </si>
  <si>
    <t>mS/cm</t>
  </si>
  <si>
    <t>AG.AVOCC</t>
  </si>
  <si>
    <t>4.2.3</t>
  </si>
  <si>
    <t>Are BMPs for soil health implemented</t>
  </si>
  <si>
    <t>AG.RECOMNAPP</t>
  </si>
  <si>
    <t>4.2.5</t>
  </si>
  <si>
    <t xml:space="preserve">Total element N fertilizer recommended by soil analysis </t>
  </si>
  <si>
    <t>Obtained by multiplying recommendation for each soil type by area of each soil type (reco 1 * ha 1 + reco 2 * ha 2…)</t>
  </si>
  <si>
    <t>AG.NAPP</t>
  </si>
  <si>
    <t xml:space="preserve">Total element N fertilizer applied </t>
  </si>
  <si>
    <t>AG.RECOMP2O5APP</t>
  </si>
  <si>
    <t xml:space="preserve">Total element P2O5 fertilizer recommended by soil or leaf analysis </t>
  </si>
  <si>
    <t>AG.P2O5APP</t>
  </si>
  <si>
    <t>Total element P2O5 fertilizer applied</t>
  </si>
  <si>
    <t>AG.RECOMNKAPP</t>
  </si>
  <si>
    <t>Total element K fertilizer recommended by soil analysis</t>
  </si>
  <si>
    <t>AG.KAPP</t>
  </si>
  <si>
    <t>Total element K fertilizer applied</t>
  </si>
  <si>
    <t>AG.TON</t>
  </si>
  <si>
    <t>Total element organic N applied</t>
  </si>
  <si>
    <t>AG.TOP</t>
  </si>
  <si>
    <t>Total element organic P applied</t>
  </si>
  <si>
    <t>AG.TOK</t>
  </si>
  <si>
    <t>Total element organic K applied</t>
  </si>
  <si>
    <t>AG.AREAEROSIONSOIL</t>
  </si>
  <si>
    <t>4.2.6</t>
  </si>
  <si>
    <t xml:space="preserve">Area covered by practice to mimimise and control erosion and degradation of soils </t>
  </si>
  <si>
    <t>AG.SMP</t>
  </si>
  <si>
    <t>Are practices to minimise erosion included in SMP?</t>
  </si>
  <si>
    <t>AG.AREALEAVESLEFT</t>
  </si>
  <si>
    <t>4.2.7</t>
  </si>
  <si>
    <t>area tops and leaves left in the field</t>
  </si>
  <si>
    <t>AG.AREALEAVESBURNT</t>
  </si>
  <si>
    <t>area where tops and leaves have been burnt after harvest</t>
  </si>
  <si>
    <t>AG.WATERRESOURCES</t>
  </si>
  <si>
    <t>4.3.1</t>
  </si>
  <si>
    <t>Main water resources are mapped</t>
  </si>
  <si>
    <t>AG.WATERUSERS</t>
  </si>
  <si>
    <t>Other users of water are mapped</t>
  </si>
  <si>
    <t>AG.WATERMANAGEMENT</t>
  </si>
  <si>
    <t>Local initiatives and organisations involved in watershed management are mapped</t>
  </si>
  <si>
    <t>AG.LANDWATERRIGHTS</t>
  </si>
  <si>
    <t>4.3.2</t>
  </si>
  <si>
    <t>Can statuatory and customary land and water rights be demostrated</t>
  </si>
  <si>
    <t>AG.SYSTEMCOMPLIANCE</t>
  </si>
  <si>
    <t>system in place to encourage compliance with land &amp; water rights in whole supply area</t>
  </si>
  <si>
    <t>AG.OPERATORMAPPED</t>
  </si>
  <si>
    <t xml:space="preserve">Has the operator physically mapped claims? </t>
  </si>
  <si>
    <t>AG.OPERATORFPIC</t>
  </si>
  <si>
    <t>Has the operator managed the claims according to their own procedure and FPIC ?</t>
  </si>
  <si>
    <t>AG.SUSTAINABLEWATER</t>
  </si>
  <si>
    <t>4.3.3</t>
  </si>
  <si>
    <t>Operators collaborate with stakeholders to promote sustainable water use</t>
  </si>
  <si>
    <t>AG.IRRWATERTOT</t>
  </si>
  <si>
    <t>4.3.4</t>
  </si>
  <si>
    <t>Total number of female workers</t>
  </si>
  <si>
    <t>Exclude irrigation with vinasse and recycled water; includes all strategies of irrigation (supplementary or full)</t>
  </si>
  <si>
    <t>AG.DILUTEWATER</t>
  </si>
  <si>
    <t>Total extracted water used to dilute effluent and vinasse</t>
  </si>
  <si>
    <t>If effluents and vinasse are diluted before using in irrigation</t>
  </si>
  <si>
    <t>AG.FULLIRRWATERTOT</t>
  </si>
  <si>
    <t>4.3.5</t>
  </si>
  <si>
    <t>All waters applied on irrigated cane</t>
  </si>
  <si>
    <t>Including extracted water, recycled water, diluted and non diluted vinasse and effluents.</t>
  </si>
  <si>
    <t>AG.RAINFALLAMOUNT</t>
  </si>
  <si>
    <t>Total rainfall over the growing season</t>
  </si>
  <si>
    <t>mm</t>
  </si>
  <si>
    <t>AG.PESTIDENTIFIED</t>
  </si>
  <si>
    <t>4.4.1</t>
  </si>
  <si>
    <t>Total area where current and historic pests and weeds have been identified</t>
  </si>
  <si>
    <t xml:space="preserve">AG.PESTMANAGEMENT </t>
  </si>
  <si>
    <t>4.4.2</t>
  </si>
  <si>
    <t>Agro-ecological pest management plan in place</t>
  </si>
  <si>
    <t>AG.PESTMANAGEMENTAREA</t>
  </si>
  <si>
    <t>Area where agro-ecological pest management plan in place</t>
  </si>
  <si>
    <t xml:space="preserve">AG.WEEDMANAGEMENT </t>
  </si>
  <si>
    <t>4.4.3</t>
  </si>
  <si>
    <t>Integrated weed management plan in place</t>
  </si>
  <si>
    <t>AG.WEEDMANAGEMENTAREA</t>
  </si>
  <si>
    <t>Area treated with integrated weed management plan in place</t>
  </si>
  <si>
    <t>AG.BANNEDCHEM</t>
  </si>
  <si>
    <t>4.4.5</t>
  </si>
  <si>
    <t>Banned agro-chemicals applied per hectare per year</t>
  </si>
  <si>
    <t>kg active ingredient/ha</t>
  </si>
  <si>
    <t>Quantities of active ingredients of agro chemicals (including pesticides, herbicides, insecticides, fungicides, nematicides, ripeners) listed in the Stockholm and Rotterdam conventions, Montreal protocol and WHO list</t>
  </si>
  <si>
    <t>AG.AGROCHEMICALSSTORED</t>
  </si>
  <si>
    <t>4.5.1</t>
  </si>
  <si>
    <t>Percentage of agrochemicals and other chemicals are safely stored</t>
  </si>
  <si>
    <t>AG.TRAININGCHEMICALS</t>
  </si>
  <si>
    <t>4.5.2</t>
  </si>
  <si>
    <t>all workers are trainined for handling an dusage of chemical</t>
  </si>
  <si>
    <t>AG.RESEARCHPLAN</t>
  </si>
  <si>
    <t>5.1.1</t>
  </si>
  <si>
    <t>research and extention plan in place</t>
  </si>
  <si>
    <t>AG.CANESALES</t>
  </si>
  <si>
    <t>5.1.2</t>
  </si>
  <si>
    <t xml:space="preserve">Sales of cane </t>
  </si>
  <si>
    <t>AG.CANEPERTONNE</t>
  </si>
  <si>
    <t>Average price of cane per tonne</t>
  </si>
  <si>
    <t>AG.RAWMATCOST</t>
  </si>
  <si>
    <t xml:space="preserve">Cost of other raw materials and services purchased </t>
  </si>
  <si>
    <t>Includes price of goods, raw materials (including energy) and services purchased.</t>
  </si>
  <si>
    <t>AG.ENVIRONMENTALSOCIALIMPACT</t>
  </si>
  <si>
    <t>5.1.3</t>
  </si>
  <si>
    <t>Environmental and social impact management plan update frequency</t>
  </si>
  <si>
    <t xml:space="preserve">AG.CONTINUOUSIMPROVEMENT </t>
  </si>
  <si>
    <t>5.1.4</t>
  </si>
  <si>
    <t>Processes to continuously improve systems are in place</t>
  </si>
  <si>
    <t>AG.RECYCLEFARM</t>
  </si>
  <si>
    <t>5.2.3</t>
  </si>
  <si>
    <t>% of categories of waste recycled at farm level</t>
  </si>
  <si>
    <t>Categories are Fibre, Metal, Plastic, Oil and lubricants, Batteries, Chemical products.  E.g. if there is a recycling plan in place for three categories, enter 50%.</t>
  </si>
  <si>
    <t>AG.VOCATIONALTIME</t>
  </si>
  <si>
    <t>5.3.1</t>
  </si>
  <si>
    <t>Total time spent by all employees in vocational training sessions</t>
  </si>
  <si>
    <t>days</t>
  </si>
  <si>
    <t>if records are made in hours, use offical number of hours per day to convert in days. Applies to direct employees only.</t>
  </si>
  <si>
    <t>AG.EMPLOYEENUMBER</t>
  </si>
  <si>
    <t>Number of total employees</t>
  </si>
  <si>
    <t>Applies to direct employees only.</t>
  </si>
  <si>
    <t xml:space="preserve">AG.HEALTHANDSAFETY </t>
  </si>
  <si>
    <t>5.4.1</t>
  </si>
  <si>
    <t>Occupational H&amp;S promoted in supply area</t>
  </si>
  <si>
    <t>AG.SAFEACCOMODATION</t>
  </si>
  <si>
    <t>5.4.2</t>
  </si>
  <si>
    <t>Safe worker accomodation promoted in supply area</t>
  </si>
  <si>
    <t>AG.MALES</t>
  </si>
  <si>
    <t>5.4.3</t>
  </si>
  <si>
    <t>Total number of male workers</t>
  </si>
  <si>
    <t>AG.FEMALES</t>
  </si>
  <si>
    <t>AG.CONTRACTEDNUMBER</t>
  </si>
  <si>
    <t>Number of contracted workers</t>
  </si>
  <si>
    <t>For statistical use only. Applies to contracted workers only.</t>
  </si>
  <si>
    <t>AG.MECHTILLAREA</t>
  </si>
  <si>
    <t>5.2.4</t>
  </si>
  <si>
    <t xml:space="preserve">Area mechanically tilled </t>
  </si>
  <si>
    <t>Any tillage deeper than 20 cm. If any portion of the field is tilled, the whole field will be considered as tilled.</t>
  </si>
  <si>
    <t>AG.DIESULFUR</t>
  </si>
  <si>
    <t>5.5.1</t>
  </si>
  <si>
    <t>Sulfur content of Diesel</t>
  </si>
  <si>
    <t>mg / L</t>
  </si>
  <si>
    <t>Obtained from fuel supplier.</t>
  </si>
  <si>
    <t>AG.WASTES</t>
  </si>
  <si>
    <t>5.5.2</t>
  </si>
  <si>
    <t>Sugarcane waste as part of harvest</t>
  </si>
  <si>
    <t>tonne</t>
  </si>
  <si>
    <t>Cane not harvested, residual cane stalk (post harvest), cane lost in transport (if transport is under the farmer responsibility during transport).</t>
  </si>
  <si>
    <t>AG.GRIEVDISP</t>
  </si>
  <si>
    <t>5.8.1</t>
  </si>
  <si>
    <t>Is there a recognized grievance and dispute resolution mechanism for all stakeholders?</t>
  </si>
  <si>
    <t>AG.CONSENSUSPERC</t>
  </si>
  <si>
    <t>5.8.2</t>
  </si>
  <si>
    <t>Percentage of projects where agreement has been reached by consensus based on FPIC</t>
  </si>
  <si>
    <t>Percentage to be calculated as: 
Number of concluded projects over the last 12 months where agreement has been reached by consensus using the FPIC process divided by Total number of concluded projects over the last 12 months.</t>
  </si>
  <si>
    <t>Whole supply area</t>
  </si>
  <si>
    <t>WH.SUSTAINPOLICY</t>
  </si>
  <si>
    <t>Sustainability policy progressively implemented in whole supply area</t>
  </si>
  <si>
    <t>WH.RISKANDIMPACTASSESSMENT</t>
  </si>
  <si>
    <t xml:space="preserve">Risk and Impact Assessment are conducted progressively throughout whole supply area </t>
  </si>
  <si>
    <t>WH.MANAGEMENTPLAN</t>
  </si>
  <si>
    <t xml:space="preserve">Management Plans are developed progressively throughout the supply area </t>
  </si>
  <si>
    <t>WH.CORRECTIVEACTIONS</t>
  </si>
  <si>
    <t>Corrective actions are implemented and management review conducted progressively throughout the supply area</t>
  </si>
  <si>
    <t>WH.GRIEVANCEMECHANISM</t>
  </si>
  <si>
    <t>Grievance mechanism for workers in place progressively throughout the supply area</t>
  </si>
  <si>
    <t>WH.AREAHCVRISKASSESSMENT</t>
  </si>
  <si>
    <t>Area covered by HCV risk assessment and mitigation action plan is progressively applied throughout supply area</t>
  </si>
  <si>
    <t>WH.AREADEVELOPED2022</t>
  </si>
  <si>
    <t xml:space="preserve">Area developed outside the unit of certification since 1st certification or 2022 if already certified </t>
  </si>
  <si>
    <t>WH.HCVAREASUGARCANE</t>
  </si>
  <si>
    <t xml:space="preserve">HCV areas converted to sugarcane outside the unit of certification </t>
  </si>
  <si>
    <t>WH.WATERRESOURCESMAPPED</t>
  </si>
  <si>
    <t>Main water resources outside the unit of certification are mapped</t>
  </si>
  <si>
    <t>WH.OTHERWATERMAPPED</t>
  </si>
  <si>
    <t>Other users of water outside the unit of certification are mapped</t>
  </si>
  <si>
    <t>WH.WATERSHEDMANAGEMENT</t>
  </si>
  <si>
    <t>WH.LANDANDWATERMAPPED</t>
  </si>
  <si>
    <t>Can statuatory and customary land and water rights be demostrated progressively across the whole supply area</t>
  </si>
  <si>
    <t>WH.SYSTEMTRACTLANDANDWATER</t>
  </si>
  <si>
    <t>System in place to encourage and track compliance with land &amp; water rights in whole supply area</t>
  </si>
  <si>
    <t>WH.OPERATORMAPPEDCLAIMS</t>
  </si>
  <si>
    <t>WH.OPERATORFPIC</t>
  </si>
  <si>
    <t>WH.TOTALAREAPESTS</t>
  </si>
  <si>
    <t>Total area where current and historic pests and weeds have been identified outside the unit of certification</t>
  </si>
  <si>
    <t>WH.OCCUPATIONALHANDPROMOTED</t>
  </si>
  <si>
    <t>WH.SAFEWORKERACCOMODATION</t>
  </si>
  <si>
    <t>EU RED</t>
  </si>
  <si>
    <t>EURED.TOTALAREAHARV</t>
  </si>
  <si>
    <t>6.1.1</t>
  </si>
  <si>
    <t>Total area harvested</t>
  </si>
  <si>
    <t>inside and outside scope of certification</t>
  </si>
  <si>
    <t>EURED.TOTALETHPROD</t>
  </si>
  <si>
    <t>Total ethanol production</t>
  </si>
  <si>
    <t>EURED.BIOCARPEALAND</t>
  </si>
  <si>
    <t>6.2.1</t>
  </si>
  <si>
    <t>Percentage of land with high biodiversity value, high carbon stock or peatlands planted to sugarcane after the cut off date of 1 January 2008.</t>
  </si>
  <si>
    <t>Cane Transport (enter lines 132-133 OR lines 135-138)</t>
  </si>
  <si>
    <t>Use one OR the other method (not both)</t>
  </si>
  <si>
    <t>TRANS.DIECONSUMP</t>
  </si>
  <si>
    <t>3.2.6</t>
  </si>
  <si>
    <t xml:space="preserve">         Total Diesel consumption of transport vehicles</t>
  </si>
  <si>
    <t>TRANS.DIESENERGY1</t>
  </si>
  <si>
    <t xml:space="preserve">          Diesel Energy per liter</t>
  </si>
  <si>
    <t>For alternative way of calculation</t>
  </si>
  <si>
    <t>TRANS.CANETRANSDIST</t>
  </si>
  <si>
    <t xml:space="preserve">          Average Cane Transport Distance (1 way) </t>
  </si>
  <si>
    <t>km</t>
  </si>
  <si>
    <t>TRANS.AVDIECONSUMP</t>
  </si>
  <si>
    <t xml:space="preserve">          Average Diesel Consumption of transport vehicles</t>
  </si>
  <si>
    <t>km / L</t>
  </si>
  <si>
    <t>TRANS.DIEENERGL</t>
  </si>
  <si>
    <t>EURED</t>
  </si>
  <si>
    <t>TRANS.AVERAGEPAYLOAD</t>
  </si>
  <si>
    <t xml:space="preserve">          Average Payload</t>
  </si>
  <si>
    <t>Milling/Processing</t>
  </si>
  <si>
    <t>MILL.SUSTAINABILITYPOLICY</t>
  </si>
  <si>
    <t>Sustainability policies are in place</t>
  </si>
  <si>
    <t>MILL.STAKEHOLDERMAP</t>
  </si>
  <si>
    <t>TRANS</t>
  </si>
  <si>
    <t>MILL.RISKIMPACTASSESSMENT</t>
  </si>
  <si>
    <t>MILL.MANAGEMENTPLAN</t>
  </si>
  <si>
    <t>MILL.STANDARDPROCEDURE</t>
  </si>
  <si>
    <t>MILL.LAWOBEYFAC</t>
  </si>
  <si>
    <t>Are relevant national laws and international conventions complied with?</t>
  </si>
  <si>
    <t>MILL.FPIC</t>
  </si>
  <si>
    <t>MILL.CANEPAYMENTS</t>
  </si>
  <si>
    <t>1.3.5</t>
  </si>
  <si>
    <t>Payment for cane deliveries are made according to agreed contract</t>
  </si>
  <si>
    <t>MILL.CANESUPPLYCONTRACT</t>
  </si>
  <si>
    <t>1.3.6</t>
  </si>
  <si>
    <t>Are sustainability criteria included in contracts with cane supliers</t>
  </si>
  <si>
    <t>MILL.CORRECTIVEACTION</t>
  </si>
  <si>
    <t>Corrective actions are implemented and management review conducted</t>
  </si>
  <si>
    <t>MILL.LANDLEGITCONTEST</t>
  </si>
  <si>
    <t>MILL.WATERLEGITCONTEST</t>
  </si>
  <si>
    <t>MILL.GRIEVANCEMECHANISM</t>
  </si>
  <si>
    <t xml:space="preserve">MILL.HSADOC </t>
  </si>
  <si>
    <t xml:space="preserve">MILL.HSACOM </t>
  </si>
  <si>
    <t xml:space="preserve">MILL.OEMR </t>
  </si>
  <si>
    <t>MILL.DRINKWATERMILL</t>
  </si>
  <si>
    <t>MILL.SANITATION</t>
  </si>
  <si>
    <t>MILL.PROTECTIVEEQFAC</t>
  </si>
  <si>
    <t>MILL.HASPERC</t>
  </si>
  <si>
    <t>MILL.FIRSTAIDMILL</t>
  </si>
  <si>
    <t>Do all workers have access to first aid and is there provision for emergency response?</t>
  </si>
  <si>
    <t>MILL.NOOCCACC</t>
  </si>
  <si>
    <t>MILL.FATALINJURIES</t>
  </si>
  <si>
    <t>MILL.TOTALHOURSWORKED</t>
  </si>
  <si>
    <t>MILL.TOTALHOURSWORKEDSUB</t>
  </si>
  <si>
    <t>MILL.CONTRACTEXISTFAC</t>
  </si>
  <si>
    <t>Existence of a contract or equivalent document.</t>
  </si>
  <si>
    <t>MILL.MAXHOURSLAW</t>
  </si>
  <si>
    <t>MILL.MAXHOURSLAWWEEK</t>
  </si>
  <si>
    <t>MILL.RESTDAY</t>
  </si>
  <si>
    <t xml:space="preserve">MILL.MAXHOURDAY </t>
  </si>
  <si>
    <t>MILL.MAXHOURSWEEK</t>
  </si>
  <si>
    <t>MILL.OVERTIME</t>
  </si>
  <si>
    <t>MILL.LOWESTWAGEMILL</t>
  </si>
  <si>
    <t>MILL.MINLEGALWAGE</t>
  </si>
  <si>
    <t>Is sufficient drinking water available to each worker present in the mill?</t>
  </si>
  <si>
    <t>MILL.LOWESTWAGEPIECE</t>
  </si>
  <si>
    <t>MILL.LOWESTWAGEPIECEFIRST</t>
  </si>
  <si>
    <t>Lowest wage including benefits for piece rate workers (initial certification)</t>
  </si>
  <si>
    <t>MILL.LIVINGWAGEREF</t>
  </si>
  <si>
    <t>MILL.NODISC</t>
  </si>
  <si>
    <t>MILL.ABUSEABSENT</t>
  </si>
  <si>
    <t>MILL.NOFORCLAB</t>
  </si>
  <si>
    <t xml:space="preserve">MILL.AGEWORKRESTRICITION </t>
  </si>
  <si>
    <t>If presence of workers aged 16-18, are restriction in place</t>
  </si>
  <si>
    <t>MILL.WORKMINAGE</t>
  </si>
  <si>
    <t>MILL.ACCOMODATIONNUMBER</t>
  </si>
  <si>
    <t>MILL.ACCOMODATIONDECENT</t>
  </si>
  <si>
    <t>MILL.WORKINGHOURSLOST</t>
  </si>
  <si>
    <t>2.3.6</t>
  </si>
  <si>
    <t>Total working hours lost through absence</t>
  </si>
  <si>
    <t>MILL.TRADEUFAC</t>
  </si>
  <si>
    <t>MILL.DIALOGUEWORKER</t>
  </si>
  <si>
    <t>MILL.GRIEVANCE</t>
  </si>
  <si>
    <t>MILL.PACKAGING</t>
  </si>
  <si>
    <t>Packaging</t>
  </si>
  <si>
    <t>MILL.BAGIMPORTS</t>
  </si>
  <si>
    <t>Volume of bagasse purchase</t>
  </si>
  <si>
    <t>MILL.OTHERIMPORTS</t>
  </si>
  <si>
    <t>Other purchases</t>
  </si>
  <si>
    <t>MILL.CANEFIBRE</t>
  </si>
  <si>
    <t>MILL.CANEPURITY</t>
  </si>
  <si>
    <t>MILL.CANESUCROSE</t>
  </si>
  <si>
    <t>MILL.REDUCINGSUGAR</t>
  </si>
  <si>
    <t xml:space="preserve">Total sugars content of cane expressed as reducing sugars </t>
  </si>
  <si>
    <t>Only applicable if ethanol is produced. If you don't have this value, fill in the next cell the reducing sugar / sucrose ratio in cane or raw juice, in order to calculate it.</t>
  </si>
  <si>
    <t>MILL.REDTOSUGRATIO</t>
  </si>
  <si>
    <t>Reducing sugar / sucrose ratio in cane or raw juice</t>
  </si>
  <si>
    <t>MILL.TIMEPROCCANE</t>
  </si>
  <si>
    <t>3.1.5</t>
  </si>
  <si>
    <t xml:space="preserve">Time spent processing cane </t>
  </si>
  <si>
    <t>MILL.LENGTHCRUSHSEAS</t>
  </si>
  <si>
    <t xml:space="preserve">Length of crushing season </t>
  </si>
  <si>
    <t>MILL.MOLIMP</t>
  </si>
  <si>
    <t>3.1.7</t>
  </si>
  <si>
    <t>TSAI content of molasses imported</t>
  </si>
  <si>
    <t>Total Sugar As Invert</t>
  </si>
  <si>
    <t>MILL.PRODWHITESUGAR</t>
  </si>
  <si>
    <t>Production of white refined sugar</t>
  </si>
  <si>
    <t>MILL.AVETHANOL</t>
  </si>
  <si>
    <t>Average ethanol content of alcohol product</t>
  </si>
  <si>
    <t>% by volume</t>
  </si>
  <si>
    <t>MILL.TSAIMOLAS</t>
  </si>
  <si>
    <t>TSAI content of molasses sold</t>
  </si>
  <si>
    <t>MILL.ETHFINALMOLASS</t>
  </si>
  <si>
    <t>Ethanol produced from final molasses only?</t>
  </si>
  <si>
    <t>If no ethanol is produced, leave blank</t>
  </si>
  <si>
    <t>MILL.GHGELEC</t>
  </si>
  <si>
    <t>MILL.GHGBIOMASS</t>
  </si>
  <si>
    <t xml:space="preserve">GHG emissions from purchased Biomass     </t>
  </si>
  <si>
    <r>
      <t>g CO</t>
    </r>
    <r>
      <rPr>
        <vertAlign val="subscript"/>
        <sz val="8"/>
        <rFont val="Trebuchet MS"/>
        <family val="2"/>
      </rPr>
      <t>2</t>
    </r>
    <r>
      <rPr>
        <sz val="8"/>
        <rFont val="Trebuchet MS"/>
        <family val="2"/>
      </rPr>
      <t xml:space="preserve"> eq / MJ</t>
    </r>
  </si>
  <si>
    <r>
      <t>CO</t>
    </r>
    <r>
      <rPr>
        <vertAlign val="subscript"/>
        <sz val="8"/>
        <rFont val="Trebuchet MS"/>
        <family val="2"/>
      </rPr>
      <t>2</t>
    </r>
    <r>
      <rPr>
        <sz val="8"/>
        <rFont val="Trebuchet MS"/>
        <family val="2"/>
      </rPr>
      <t xml:space="preserve"> emissions from biomass burning are considered to be equalled by CO</t>
    </r>
    <r>
      <rPr>
        <vertAlign val="subscript"/>
        <sz val="8"/>
        <rFont val="Trebuchet MS"/>
        <family val="2"/>
      </rPr>
      <t>2</t>
    </r>
    <r>
      <rPr>
        <sz val="8"/>
        <rFont val="Trebuchet MS"/>
        <family val="2"/>
      </rPr>
      <t xml:space="preserve"> uptake during  growth and are neglected, but should include GHG in getting it to mill, + CH</t>
    </r>
    <r>
      <rPr>
        <vertAlign val="subscript"/>
        <sz val="8"/>
        <rFont val="Trebuchet MS"/>
        <family val="2"/>
      </rPr>
      <t xml:space="preserve">4 </t>
    </r>
    <r>
      <rPr>
        <sz val="8"/>
        <rFont val="Trebuchet MS"/>
        <family val="2"/>
      </rPr>
      <t>and N</t>
    </r>
    <r>
      <rPr>
        <vertAlign val="subscript"/>
        <sz val="8"/>
        <rFont val="Trebuchet MS"/>
        <family val="2"/>
      </rPr>
      <t>2</t>
    </r>
    <r>
      <rPr>
        <sz val="8"/>
        <rFont val="Trebuchet MS"/>
        <family val="2"/>
      </rPr>
      <t>O from combustion.</t>
    </r>
  </si>
  <si>
    <t>MILL.CLIMATEPLAN</t>
  </si>
  <si>
    <t>MILL.LUC</t>
  </si>
  <si>
    <t>3.2.3</t>
  </si>
  <si>
    <t>Has there been any land use change in the supply area since 1st January 2008?</t>
  </si>
  <si>
    <t>MILL.IMPORTEDPOWER</t>
  </si>
  <si>
    <t>3.2.5</t>
  </si>
  <si>
    <t>Electric power imported</t>
  </si>
  <si>
    <t>kWh</t>
  </si>
  <si>
    <t>MILL.FACTORYCOAL</t>
  </si>
  <si>
    <t>Factory Coal Consumption</t>
  </si>
  <si>
    <t>MILL.LHVCOAL</t>
  </si>
  <si>
    <t>Lower heating value of coal (LHV)</t>
  </si>
  <si>
    <t>MJ / kg</t>
  </si>
  <si>
    <t>Calorific value to be obtained from Coal supplier.</t>
  </si>
  <si>
    <t>MILL.NGASCONSUMP2</t>
  </si>
  <si>
    <t xml:space="preserve">Natural Gas Consumption </t>
  </si>
  <si>
    <r>
      <t>m</t>
    </r>
    <r>
      <rPr>
        <vertAlign val="superscript"/>
        <sz val="8"/>
        <rFont val="Trebuchet MS"/>
        <family val="2"/>
      </rPr>
      <t>4</t>
    </r>
    <r>
      <rPr>
        <sz val="11"/>
        <color theme="1"/>
        <rFont val="Calibri"/>
        <family val="2"/>
        <scheme val="minor"/>
      </rPr>
      <t/>
    </r>
  </si>
  <si>
    <t>MILL.LHVNGAS</t>
  </si>
  <si>
    <t>Lower heating value of Natural Gas (LHV)</t>
  </si>
  <si>
    <r>
      <t>MJ/m</t>
    </r>
    <r>
      <rPr>
        <vertAlign val="superscript"/>
        <sz val="8"/>
        <rFont val="Trebuchet MS"/>
        <family val="2"/>
      </rPr>
      <t>4</t>
    </r>
    <r>
      <rPr>
        <sz val="11"/>
        <color theme="1"/>
        <rFont val="Calibri"/>
        <family val="2"/>
        <scheme val="minor"/>
      </rPr>
      <t/>
    </r>
  </si>
  <si>
    <t>MILL.DIECONSUMPMILL</t>
  </si>
  <si>
    <t>Diesel consumption in mill/processing operations</t>
  </si>
  <si>
    <t xml:space="preserve">L </t>
  </si>
  <si>
    <t>MILL.BIOMASSIMP</t>
  </si>
  <si>
    <t>Imported biomass energy per ton of cane</t>
  </si>
  <si>
    <t>MJ / t cane</t>
  </si>
  <si>
    <t>Include transport and handling energy only</t>
  </si>
  <si>
    <t>MILL.LIMEFACTORY</t>
  </si>
  <si>
    <t>Lime used in factory</t>
  </si>
  <si>
    <t>Excludes lime used in ethanol plant</t>
  </si>
  <si>
    <t>MILL.CAUSTICSODAMILL</t>
  </si>
  <si>
    <t>Caustic soda consumption in mill (sugar process)</t>
  </si>
  <si>
    <t>Excludes caustic used in ethanol plant</t>
  </si>
  <si>
    <t>MILL.ENZFLOCMILL</t>
  </si>
  <si>
    <t>Biocide enzymes and flocculants used in mill</t>
  </si>
  <si>
    <t>g / t cane</t>
  </si>
  <si>
    <t>MILL.BOILFEEDWAT</t>
  </si>
  <si>
    <t>Boiler feed water treatment chemicals used</t>
  </si>
  <si>
    <t>MILL.FACSULF</t>
  </si>
  <si>
    <t>Factory sulfur usage in sulfitation</t>
  </si>
  <si>
    <t>MILL.SODACONSUMP</t>
  </si>
  <si>
    <t>Caustic soda Consumption (ethanol process)</t>
  </si>
  <si>
    <t>MILL.OTHERCHEMCONSSUG</t>
  </si>
  <si>
    <t>Other chemicals used (sugar process)</t>
  </si>
  <si>
    <t>MILL.H2SO4CONS</t>
  </si>
  <si>
    <r>
      <t>H</t>
    </r>
    <r>
      <rPr>
        <vertAlign val="subscript"/>
        <sz val="8"/>
        <rFont val="Trebuchet MS"/>
        <family val="2"/>
      </rPr>
      <t>2</t>
    </r>
    <r>
      <rPr>
        <sz val="8"/>
        <rFont val="Trebuchet MS"/>
        <family val="2"/>
      </rPr>
      <t>SO</t>
    </r>
    <r>
      <rPr>
        <vertAlign val="subscript"/>
        <sz val="8"/>
        <rFont val="Trebuchet MS"/>
        <family val="2"/>
      </rPr>
      <t xml:space="preserve">4 </t>
    </r>
    <r>
      <rPr>
        <sz val="8"/>
        <rFont val="Trebuchet MS"/>
        <family val="2"/>
      </rPr>
      <t>Consumption</t>
    </r>
  </si>
  <si>
    <t>MILL.ANTIFOAMCONS</t>
  </si>
  <si>
    <t>Anti foam Consumption</t>
  </si>
  <si>
    <t>MILL.LUBRICANTCONS</t>
  </si>
  <si>
    <t>Lubricants Consumption</t>
  </si>
  <si>
    <t>MILL.NITROGENCONS</t>
  </si>
  <si>
    <t>Nitrogen Consumption</t>
  </si>
  <si>
    <t>MILL.OTHERCHEMCONSETH</t>
  </si>
  <si>
    <t>Other chemicals used (ethanol process)</t>
  </si>
  <si>
    <t>MILL.POWEREXPPY</t>
  </si>
  <si>
    <t>Power exported per year</t>
  </si>
  <si>
    <t>GWh</t>
  </si>
  <si>
    <t>MILL.BAGASSEMASS</t>
  </si>
  <si>
    <t>Mass of bagasse sold</t>
  </si>
  <si>
    <t>MILL.MOISTURECONT</t>
  </si>
  <si>
    <t>Moisture content of bagasse</t>
  </si>
  <si>
    <t>MILL.ASH</t>
  </si>
  <si>
    <t>Ash content of bagasse</t>
  </si>
  <si>
    <t>MILL.BRIX</t>
  </si>
  <si>
    <t>Brix of bagasse</t>
  </si>
  <si>
    <t>MILL.MOLSALES</t>
  </si>
  <si>
    <t>Sales of molasses</t>
  </si>
  <si>
    <t>MILL.MOLEXP</t>
  </si>
  <si>
    <t>Mass of molasses sold</t>
  </si>
  <si>
    <t>MILL.MOLAVPRICE</t>
  </si>
  <si>
    <t>Average price for molasses sold per tonne</t>
  </si>
  <si>
    <t>MILL.SUGARSALES</t>
  </si>
  <si>
    <t>Sales of sugar</t>
  </si>
  <si>
    <t>MILL.SUGARPRICE</t>
  </si>
  <si>
    <t>Average sugar price received per tonne</t>
  </si>
  <si>
    <t>MILL.ELECTEFF</t>
  </si>
  <si>
    <t>To be obtained from local energy supplier. If not available, use 40 % for new units (built after 2000) or 37.5 % for old units (Ref. CDM; UNFCC/CCNUCC). If unknown, use 37.5%</t>
  </si>
  <si>
    <t>MILL.EIMPPERC</t>
  </si>
  <si>
    <t>MILL.NEWAREAHCV</t>
  </si>
  <si>
    <t>Size of new milling area developed in High Conservation Value (HCV) areas</t>
  </si>
  <si>
    <t>Mostly referred to newly constucted areas. If there were none, enter 0</t>
  </si>
  <si>
    <t>MILL.NEWAREAWETLAND</t>
  </si>
  <si>
    <t>Size of New milling area developed over wetlands, riparian areas, natural areas</t>
  </si>
  <si>
    <t>MILL.HCVASSESSMENT</t>
  </si>
  <si>
    <t>Bonsucro HCV Risk assessment rating HCV areas are maintained and enhanced</t>
  </si>
  <si>
    <t>MILL.OPERATIONCHANGE</t>
  </si>
  <si>
    <t>4.1.6</t>
  </si>
  <si>
    <t xml:space="preserve">Has there been any establishment of new sugar operations? </t>
  </si>
  <si>
    <t>MILL.ESIAIMPACT</t>
  </si>
  <si>
    <t>Presence of  Environmental Social and Impact Assessment (ESIA)?</t>
  </si>
  <si>
    <t>MILL.WATERRESOURCES</t>
  </si>
  <si>
    <t>MILL.WATERUSERS</t>
  </si>
  <si>
    <t>MILL.WATERMANAGEMENT</t>
  </si>
  <si>
    <t>MILL.LANDWATERRIGHTS</t>
  </si>
  <si>
    <t>MILL.SYSTEMCOMPLIANCE</t>
  </si>
  <si>
    <t>MILL.OPERATORMAPPED</t>
  </si>
  <si>
    <t xml:space="preserve"> Has the operator physically mapped claims? Has the operator managed the claims according to their own procedure?</t>
  </si>
  <si>
    <t>MILL.OPERATORFPIC</t>
  </si>
  <si>
    <t>MILL.SUSTAINABLEWATER</t>
  </si>
  <si>
    <t>MILL.WATERRIVERWELLS</t>
  </si>
  <si>
    <t>Total water from river / wells</t>
  </si>
  <si>
    <t>MILL.OTHERWATER</t>
  </si>
  <si>
    <t>Other water used</t>
  </si>
  <si>
    <t>Excludes recycled water – could be reservoir, dams (other than river and well)</t>
  </si>
  <si>
    <t>MILL.WATERRETURNED</t>
  </si>
  <si>
    <t>Effluent water returned to the environment</t>
  </si>
  <si>
    <t>Treated or untreated, including effluents and vinasse returned to water streams or applied to cane</t>
  </si>
  <si>
    <t>MILL.WATERDISCH</t>
  </si>
  <si>
    <t>4.3.6</t>
  </si>
  <si>
    <t>Are Effluents discharged in river?</t>
  </si>
  <si>
    <t xml:space="preserve">MILL.DISSOLVEDOXGEN </t>
  </si>
  <si>
    <t>Dissolved oxygen at effluent point</t>
  </si>
  <si>
    <t>ppm</t>
  </si>
  <si>
    <t>MILL.TOTALCOD</t>
  </si>
  <si>
    <t>Total COD (Chemical Oxygen Demand)</t>
  </si>
  <si>
    <t>mg/ kg effluent</t>
  </si>
  <si>
    <t>MILL.TOTALBOD</t>
  </si>
  <si>
    <t>Total BOD (Biological Oxygen Demand)</t>
  </si>
  <si>
    <t>MILL.CHEMICALSSTORED</t>
  </si>
  <si>
    <t>MILL.TRAININGCHEMICALS</t>
  </si>
  <si>
    <t>Training on handling and correct use of chemicals is conducted</t>
  </si>
  <si>
    <t>MILL.RESEARCHPLAN</t>
  </si>
  <si>
    <t>MILL.SUGARCANECOSTPRC</t>
  </si>
  <si>
    <t>Cost of sugarcane processed</t>
  </si>
  <si>
    <t xml:space="preserve">If you do not know the exact cost of sugarcane purchased, you can calculate it, by filling in the next cell.  Estimate if mill owned/operated sugarcane supply. </t>
  </si>
  <si>
    <t>MILL.AVCANEPRICE</t>
  </si>
  <si>
    <t>Average price of cane</t>
  </si>
  <si>
    <t xml:space="preserve">Estimate if mill owned/operated sugarcane supply. </t>
  </si>
  <si>
    <t>MILL.MOLASSIMPORTCOST1</t>
  </si>
  <si>
    <t>Cost of molasses purchased</t>
  </si>
  <si>
    <t>If you do not know the exact cost of molasses imported, you can calculate it, by filling in the next cells.</t>
  </si>
  <si>
    <t>MILL.MOLASSIMPORTED</t>
  </si>
  <si>
    <t>Mass of molasses purchased</t>
  </si>
  <si>
    <t>MILL.MOLASSIMPORTCOST2</t>
  </si>
  <si>
    <t>Cost of molasses purchased per tonne</t>
  </si>
  <si>
    <t>MILL.COSTRAWMAT</t>
  </si>
  <si>
    <t>MILL.ETHSALES</t>
  </si>
  <si>
    <t>Sales of ethanol</t>
  </si>
  <si>
    <t>If you do not know the amount of ethanol sales, you can calculate it, by filling in the next cell.</t>
  </si>
  <si>
    <t>MILL.ETHPRICE</t>
  </si>
  <si>
    <t>Average ethanol price per liter</t>
  </si>
  <si>
    <t>MILL.POWERSALES</t>
  </si>
  <si>
    <t>Sales of power</t>
  </si>
  <si>
    <t>If you do not know the amount of exported power sales, you can calculate it, by filling in the next cell.</t>
  </si>
  <si>
    <t>MILL.POWERPRICE</t>
  </si>
  <si>
    <t>Average price for power sold per kWh</t>
  </si>
  <si>
    <t>MILL.BAGSALES</t>
  </si>
  <si>
    <t>Sales of bagasse</t>
  </si>
  <si>
    <t>If you do not have the sales of bagasse amount, you can calculate it, by filling in the next cells.</t>
  </si>
  <si>
    <t>MILL.AVPRICEBAG</t>
  </si>
  <si>
    <t>Average price for bagasse sold per tonne</t>
  </si>
  <si>
    <t>MILL.ENVIRONMENTALSOCIALIMPACT</t>
  </si>
  <si>
    <t>MILL.CONTINUOUSIMPROVEMENT</t>
  </si>
  <si>
    <t>MILL.OPERATORAIRQUALITY</t>
  </si>
  <si>
    <t>5.2.1</t>
  </si>
  <si>
    <t>Operators have air quality monitoring system in place</t>
  </si>
  <si>
    <t>MILL.PM10</t>
  </si>
  <si>
    <t xml:space="preserve">PM10 annual mean </t>
  </si>
  <si>
    <t>MILL.NOX</t>
  </si>
  <si>
    <t>Nox annual mean</t>
  </si>
  <si>
    <t>MILL.SOX</t>
  </si>
  <si>
    <t>Sox 24 hour mean</t>
  </si>
  <si>
    <t>MILL.MANAGEMENTEMISSIONS</t>
  </si>
  <si>
    <t>5.2.2</t>
  </si>
  <si>
    <t>Operator measure and report emissions for both fugitive and point-source air emissions</t>
  </si>
  <si>
    <t>MILL.PERCRECYCLED</t>
  </si>
  <si>
    <t>% of categories of waste recycled at mill level</t>
  </si>
  <si>
    <t>MILL.VOCATIONALTIME</t>
  </si>
  <si>
    <t>Total time spent by all employees in vocational training sessions.</t>
  </si>
  <si>
    <t>If records are made in hours, USE this method. OTHERWISE use finance method below. If tracking is done per hour, use offical number of normal hours per day to convert in days. If not recorded, use expenditure (see below)</t>
  </si>
  <si>
    <t>MILL.EMPLOYEENUMBER</t>
  </si>
  <si>
    <t>Exclude contracted workers. Applies to direct employees only.</t>
  </si>
  <si>
    <t>MILL.MALES</t>
  </si>
  <si>
    <t>For statistical use only. Applies to all staff on premises</t>
  </si>
  <si>
    <t>MILL.FEMALES</t>
  </si>
  <si>
    <t>MILL.FUELOILUSE</t>
  </si>
  <si>
    <t>Fuel oil used</t>
  </si>
  <si>
    <t>MILL.BOILERBAG</t>
  </si>
  <si>
    <t>Bagasse burnt in boilers</t>
  </si>
  <si>
    <t>MILL.DIEUSEDFAC</t>
  </si>
  <si>
    <t>Diesel used</t>
  </si>
  <si>
    <t xml:space="preserve">Only important if large quantities of suplementary fuels are used (more than 10% of bagasse used) </t>
  </si>
  <si>
    <t>MILL.BOILERASH</t>
  </si>
  <si>
    <t>Boiler ash</t>
  </si>
  <si>
    <t>MILL.SURPLUSBAGASS</t>
  </si>
  <si>
    <t>Surplus bagasse dumped</t>
  </si>
  <si>
    <t>MILL.MUDSOIL</t>
  </si>
  <si>
    <t>Total of mud/soil produced</t>
  </si>
  <si>
    <t>MILL.FILTERCAKE</t>
  </si>
  <si>
    <t>Total of filter cake produced</t>
  </si>
  <si>
    <t>MILL.OTHERWASTEFAC</t>
  </si>
  <si>
    <t>Other sugarcane waste produced</t>
  </si>
  <si>
    <t>Residues include cane washing residues, cane waste in transport (if the mill mill is responsible for transport) or at the mill (not all produced at all mills).</t>
  </si>
  <si>
    <t>MILL.RANDDEXP</t>
  </si>
  <si>
    <t xml:space="preserve">Research and Development expenditure  </t>
  </si>
  <si>
    <t>Contribution to research for the sugarcane sector and/or its own R &amp; D expenditures. Other capital expenditure to be excluded.</t>
  </si>
  <si>
    <t>MILL.GRIEVDISP</t>
  </si>
  <si>
    <t>MILL.CONSENSUSPERC</t>
  </si>
  <si>
    <t>GEN.LATTMILL</t>
  </si>
  <si>
    <t xml:space="preserve">GPS latitude mill </t>
  </si>
  <si>
    <t>For statistical use only</t>
  </si>
  <si>
    <t>GEN.LONGMILL</t>
  </si>
  <si>
    <t>GPS longitude mill</t>
  </si>
  <si>
    <t>EURED.LANDUSECHANGE0108</t>
  </si>
  <si>
    <t>Land use change due to processing or transport and distribution after January 2008</t>
  </si>
  <si>
    <t>MILL</t>
  </si>
  <si>
    <t>EURED.LANDSTOCKCHANGE</t>
  </si>
  <si>
    <t>If yes, enter annualised land carbon stock change</t>
  </si>
  <si>
    <r>
      <t>g CO</t>
    </r>
    <r>
      <rPr>
        <vertAlign val="subscript"/>
        <sz val="8"/>
        <color theme="1"/>
        <rFont val="Trebuchet MS"/>
        <family val="2"/>
      </rPr>
      <t>2</t>
    </r>
    <r>
      <rPr>
        <sz val="8"/>
        <color theme="1"/>
        <rFont val="Trebuchet MS"/>
        <family val="2"/>
      </rPr>
      <t>/MJ fuel</t>
    </r>
  </si>
  <si>
    <t>Calculate using tab P6 Agric (references Annex 3 of the Production Standard and Annex 6 of the Guidance to the Production Standard)</t>
  </si>
  <si>
    <t>EURED.BIOGETH</t>
  </si>
  <si>
    <t>Copy from biograce calculator (if used to calculate actual GHG emissions): Total emissions after allocation (agriculture + ethanol production)</t>
  </si>
  <si>
    <t>ONLY if Biograce is used for agriculture and ethanol production (without transport to Europe and use in filling stations), report the calculated value L94 (2E-ScStr), L93 (2E-ScBa), L120 (E-Sc) from Biograce tool  - otherwise leave blank or use next cell</t>
  </si>
  <si>
    <t>EURED.BIOGTOTAL</t>
  </si>
  <si>
    <t>Copy from Biograce calculator (if used to calculate actual GHG emissions) Total emissions with allocation (entire pathway)</t>
  </si>
  <si>
    <t>ONLY if Biograce is used to calculate the ENTIRE pathway, report the calculated value L148 (2E-ScStr), L147 (2E-ScBa), L205 (E-Sc) from Biograce tool</t>
  </si>
  <si>
    <t xml:space="preserve">Extra information provided for data analysis only </t>
  </si>
  <si>
    <t>EXTRA.REFORESTEDAREA</t>
  </si>
  <si>
    <t>Reforested area under responsibility</t>
  </si>
  <si>
    <t>MILL.COALSULFUR</t>
  </si>
  <si>
    <t>MILL.FUELOILSULF</t>
  </si>
  <si>
    <t>MILL.SULFITPROC</t>
  </si>
  <si>
    <t>MILL.NO2EMMCOAL</t>
  </si>
  <si>
    <t>MILL.NEWPROJECT</t>
  </si>
  <si>
    <t>MILL.ESIACOMPL</t>
  </si>
  <si>
    <t>MILL.NEWMILLING0108</t>
  </si>
  <si>
    <t>MILL.WORKMINAGENHAZFAC</t>
  </si>
  <si>
    <t>MILL.WMINAGEOTHERFAC</t>
  </si>
  <si>
    <t xml:space="preserve">Criterion 1.1 </t>
  </si>
  <si>
    <t>Compliance</t>
  </si>
  <si>
    <t xml:space="preserve">Leadership demonstrated through elaboration and implementation of sustainability policies </t>
  </si>
  <si>
    <t>Company data 1.1.1</t>
  </si>
  <si>
    <t xml:space="preserve">Company Results 1.1.1 </t>
  </si>
  <si>
    <t xml:space="preserve">Criterion 1.2 </t>
  </si>
  <si>
    <t>Risks and impacts are systematically assessed</t>
  </si>
  <si>
    <t>Company data 1.2.2</t>
  </si>
  <si>
    <t xml:space="preserve">Company Results 1.2.2 </t>
  </si>
  <si>
    <t xml:space="preserve">Criterion 1.3 </t>
  </si>
  <si>
    <t xml:space="preserve">The implementation of the Sustainability system is systematical and risk based </t>
  </si>
  <si>
    <t>Management Plans are developed</t>
  </si>
  <si>
    <t xml:space="preserve">Company data 1.3.1 </t>
  </si>
  <si>
    <t xml:space="preserve">Company Results 1.3.1 </t>
  </si>
  <si>
    <t>Systems for Monitoring and Evaluation (M&amp;E) and Grievances are implemented.</t>
  </si>
  <si>
    <t>Monitoring mechanisms are in place to ensure that corrective actions are implemented, and management review conducted</t>
  </si>
  <si>
    <t xml:space="preserve">Company data 1.4.1 </t>
  </si>
  <si>
    <t>Company Results 1.4.1</t>
  </si>
  <si>
    <t>To safeguard respect for labour rights through functioning social dialogue mechanisms</t>
  </si>
  <si>
    <t>Discrimination as defined by ILO C111 (see full definition in Appendix 1). Verification to be done by interviewing workers</t>
  </si>
  <si>
    <t>Company data 2.4.3</t>
  </si>
  <si>
    <t xml:space="preserve">To protect and rehabilitate biodiversity and ecosystem services, as well as maintaining and enhancing HCVs </t>
  </si>
  <si>
    <t>Across the whole cane supplying area future expansion is conducted in non-HCV areas.</t>
  </si>
  <si>
    <t>Company data 4.1.4</t>
  </si>
  <si>
    <t>Water Stewardship Plan in place</t>
  </si>
  <si>
    <t>Identify main water resources, the basin, sub-basin or micro-basin where the water resource is provided and determine an action plan to contribute to its sustainability and setting objectives for water stewardship</t>
  </si>
  <si>
    <t xml:space="preserve">To ensure the maintenance of acceptable soil pH. 
Sampling to be carried at least once per crop cycle. </t>
  </si>
  <si>
    <t>Company data 4.3.1</t>
  </si>
  <si>
    <t xml:space="preserve">Company Results 4.3.1 </t>
  </si>
  <si>
    <t>Mapping of land/water titles &amp; claims is conducted</t>
  </si>
  <si>
    <t>Those rights can be related either to legal ownership or lease of the land or to customary rights. Legal ownership shall be the official title in the country (e.g. notary, government agency or other). Guidance for customary rights is provided in ILO conventions 169 and 117</t>
  </si>
  <si>
    <t>Company data 4.3.2</t>
  </si>
  <si>
    <t xml:space="preserve">Company Results 4.3.2 </t>
  </si>
  <si>
    <t>Pest, Disease and Weed Management Plans in place and implemented</t>
  </si>
  <si>
    <t>Identification and monitoring of current, historical and potential pests and diseases</t>
  </si>
  <si>
    <t>&gt;80</t>
  </si>
  <si>
    <t>Company data 4.4.1</t>
  </si>
  <si>
    <t>Continuous improvement of worker welfare</t>
  </si>
  <si>
    <t>Occupational health and safety is promoted in the whole cane supply area</t>
  </si>
  <si>
    <t>Company data 5.4.1</t>
  </si>
  <si>
    <t xml:space="preserve">Company Results 5.4.1 </t>
  </si>
  <si>
    <t>Safe worker accommodation in cane supplier area</t>
  </si>
  <si>
    <t>Company data 5.4.2</t>
  </si>
  <si>
    <t xml:space="preserve">Company Results 5.4.2 </t>
  </si>
  <si>
    <t>TBIP</t>
  </si>
  <si>
    <t>Principle 5.</t>
  </si>
  <si>
    <t>CONTINUOUSLY IMPROVE OTHER KEY AREAS OF THE BUSINESS</t>
  </si>
  <si>
    <t>To promote economic and social sustainability</t>
  </si>
  <si>
    <t>Research and innovation plan in place</t>
  </si>
  <si>
    <t>Includes levies to research institutes for research and extension. Other capital spending to be excluded.</t>
  </si>
  <si>
    <t>Company data 5.1.1</t>
  </si>
  <si>
    <t>Company Results 5.1.1</t>
  </si>
  <si>
    <t xml:space="preserve">Value added per tonne cane  </t>
  </si>
  <si>
    <t>&gt;14</t>
  </si>
  <si>
    <t>USD $ / t cane</t>
  </si>
  <si>
    <t>Value added by the operation is the value of sales less the price of goods, raw materials (including energy) and services purchased.</t>
  </si>
  <si>
    <t>Company data 5.1.2</t>
  </si>
  <si>
    <t>Sugarcane processed</t>
  </si>
  <si>
    <t>Cost of Sugarcane processed</t>
  </si>
  <si>
    <t>Cost of molasses imported</t>
  </si>
  <si>
    <t>Molasses imported</t>
  </si>
  <si>
    <t>Cost of cane and imported molasses</t>
  </si>
  <si>
    <t>Sugar production</t>
  </si>
  <si>
    <t>Ethanol production</t>
  </si>
  <si>
    <t>Average ethanol price per ML</t>
  </si>
  <si>
    <t>Sales of exported power</t>
  </si>
  <si>
    <t>Power exported</t>
  </si>
  <si>
    <t>Power exports</t>
  </si>
  <si>
    <t>Conversion GWh to kWh</t>
  </si>
  <si>
    <t>Average price for power export per kWh</t>
  </si>
  <si>
    <t>Mass of bagasse exported</t>
  </si>
  <si>
    <t>Average price for bagasse exports per tonne</t>
  </si>
  <si>
    <t xml:space="preserve">Molasses exported </t>
  </si>
  <si>
    <t>Average price for molasses exports per tonne</t>
  </si>
  <si>
    <t xml:space="preserve">Total sales </t>
  </si>
  <si>
    <t>Sales</t>
  </si>
  <si>
    <t>Value added in milling</t>
  </si>
  <si>
    <t>Value added / tonne cane</t>
  </si>
  <si>
    <t>Currency exchange rate</t>
  </si>
  <si>
    <t>www.xe.com</t>
  </si>
  <si>
    <t>Company Results 5.1.2</t>
  </si>
  <si>
    <t>US $ / t cane</t>
  </si>
  <si>
    <t xml:space="preserve">Environmental and social impact Management Plans updated biannually </t>
  </si>
  <si>
    <t>&gt;=6 months</t>
  </si>
  <si>
    <t>Company data 5.1.3</t>
  </si>
  <si>
    <t>Company Results 5.1.3</t>
  </si>
  <si>
    <t xml:space="preserve"> Findings of business context analysis continuously addressed in a time-bound manner</t>
  </si>
  <si>
    <t>Company data 5.1.4</t>
  </si>
  <si>
    <t>Company Results 5.1.4</t>
  </si>
  <si>
    <t>To reduce emissions and effluents. To promote recycling of waste streams where practical</t>
  </si>
  <si>
    <t xml:space="preserve">Operators have a documented monitoring and evaluation system for ambient air quality in nearest populations/communities </t>
  </si>
  <si>
    <t>Company data 5.2.1</t>
  </si>
  <si>
    <t xml:space="preserve">PM10 (24hr mean) </t>
  </si>
  <si>
    <t xml:space="preserve">No2 (24hr mean) </t>
  </si>
  <si>
    <t>So2 (24 hr mean)</t>
  </si>
  <si>
    <t>Company Results 5.2.1</t>
  </si>
  <si>
    <t xml:space="preserve">Fugitive and point-source air emissions align with Best Available Technology and established safety/ environmental parameters  </t>
  </si>
  <si>
    <t>Company data 5.2.2</t>
  </si>
  <si>
    <t>Company Results 5.2.2</t>
  </si>
  <si>
    <t>% of Non-production waste plan for safely recycled or disposal</t>
  </si>
  <si>
    <t>&gt;= 50</t>
  </si>
  <si>
    <t>Company data 5.2.3</t>
  </si>
  <si>
    <t>Company Results 5.2.3</t>
  </si>
  <si>
    <t>% ofNon-production waste plan for safely recycled or disposal</t>
  </si>
  <si>
    <t>To train workers and other workers in all areas of their work and develop their general skills</t>
  </si>
  <si>
    <t xml:space="preserve">Time spent by workers in vocational training sessions   </t>
  </si>
  <si>
    <t>&gt;=16</t>
  </si>
  <si>
    <t>hours /  direct employee</t>
  </si>
  <si>
    <t>Company data 5.3.1</t>
  </si>
  <si>
    <t>Excludes contracted workers</t>
  </si>
  <si>
    <t>Number of training hours per employee</t>
  </si>
  <si>
    <t>hours /  employee</t>
  </si>
  <si>
    <t>Company Results 5.3.1</t>
  </si>
  <si>
    <t>Gender inclusion in management and technical positions</t>
  </si>
  <si>
    <t>Company data 5.4.3</t>
  </si>
  <si>
    <t>Company Results 5.4.3</t>
  </si>
  <si>
    <t xml:space="preserve"> Value added per tonne cane  </t>
  </si>
  <si>
    <t>&gt; 10</t>
  </si>
  <si>
    <t>Value added by the operation is tha value of sales less the price of 
goods, raw materials (including energy) and services purchased.</t>
  </si>
  <si>
    <t xml:space="preserve">Sugarcane production </t>
  </si>
  <si>
    <t>Sales of cane</t>
  </si>
  <si>
    <t>Value added in growing</t>
  </si>
  <si>
    <t>Non-production waste plan for safely recycled or disposal</t>
  </si>
  <si>
    <t>hours / employee</t>
  </si>
  <si>
    <t>Delete above</t>
  </si>
  <si>
    <t>Principle 4.</t>
  </si>
  <si>
    <t>ACTIVELY MANAGE BIODIVERSITY AND ECOSYSTEM SERVICES</t>
  </si>
  <si>
    <t xml:space="preserve">Percentage of greenfield expansion or new sugarcane project covered by ESIA </t>
  </si>
  <si>
    <t>Environmental and Social Impact Assessment shall be done prior to the start of implementation phase of a project.</t>
  </si>
  <si>
    <t>Company data 4.1.6</t>
  </si>
  <si>
    <t>Does this inicator apply?</t>
  </si>
  <si>
    <t>Engaging in collaborative action to promote sustainable water use</t>
  </si>
  <si>
    <t>Key health and safety risks to be known and assessment formalized. Measures to be taken to either eliminate risk, prevent risk or reduce risk in agreement with national laws if existing.  The recommendations 192 of ILO Convention 184,  or national laws if  any provide guidance for the list of key potential areas of risks to assess.</t>
  </si>
  <si>
    <t>Company data 4.3.3</t>
  </si>
  <si>
    <r>
      <t xml:space="preserve">Net water consumed per unit mass of product                         </t>
    </r>
    <r>
      <rPr>
        <sz val="8"/>
        <color rgb="FFFF0000"/>
        <rFont val="Trebuchet MS"/>
        <family val="2"/>
      </rPr>
      <t xml:space="preserve">           </t>
    </r>
  </si>
  <si>
    <t>kg / kg product</t>
  </si>
  <si>
    <t>Water used less water returned from mill to water course.  Standard: &lt; 20 kg / kg sugar produced ; &lt; 30 kg / kg ethanol produced</t>
  </si>
  <si>
    <t>Company data 4.3.4</t>
  </si>
  <si>
    <t>Standard Calculation</t>
  </si>
  <si>
    <t>Standard value depends on proportions of sugar and ethanol produced</t>
  </si>
  <si>
    <t>Water from river / wells</t>
  </si>
  <si>
    <t>Excludes recycled water</t>
  </si>
  <si>
    <t>Total water used</t>
  </si>
  <si>
    <t>treated or untreated, including effluents and vinasse returned to water steams or applied to cane</t>
  </si>
  <si>
    <t xml:space="preserve">Net water consumed </t>
  </si>
  <si>
    <r>
      <t xml:space="preserve"> Density of Ethanol in t/m</t>
    </r>
    <r>
      <rPr>
        <vertAlign val="superscript"/>
        <sz val="8"/>
        <color theme="1"/>
        <rFont val="Trebuchet MS"/>
        <family val="2"/>
      </rPr>
      <t>3</t>
    </r>
    <r>
      <rPr>
        <sz val="8"/>
        <color theme="1"/>
        <rFont val="Trebuchet MS"/>
        <family val="2"/>
      </rPr>
      <t xml:space="preserve"> = 0.791, an average for ambient conditions</t>
    </r>
  </si>
  <si>
    <t>Molasses produced</t>
  </si>
  <si>
    <t>Fusel oil produced</t>
  </si>
  <si>
    <t>Fusel oil production</t>
  </si>
  <si>
    <r>
      <t>Based on a density of 0.84 t/m</t>
    </r>
    <r>
      <rPr>
        <vertAlign val="superscript"/>
        <sz val="8"/>
        <color theme="1"/>
        <rFont val="Trebuchet MS"/>
        <family val="2"/>
      </rPr>
      <t>3</t>
    </r>
  </si>
  <si>
    <t>Yeast produced</t>
  </si>
  <si>
    <t>Others products produced</t>
  </si>
  <si>
    <t>Total mass production</t>
  </si>
  <si>
    <t>Company Result 4.3.4</t>
  </si>
  <si>
    <t>Net water consumed per unit mass of product</t>
  </si>
  <si>
    <t xml:space="preserve"> Dissolved oxygen in effluent point</t>
  </si>
  <si>
    <t xml:space="preserve">&gt; 2.5 ppm or 1 kg COD/t product or 0.25 kg BOD/t product </t>
  </si>
  <si>
    <t>mg/L</t>
  </si>
  <si>
    <t>If water taken in from the external source has a value below 1 mg/L, then a special dispensation is necessary</t>
  </si>
  <si>
    <t>Company data 4.3.6</t>
  </si>
  <si>
    <t xml:space="preserve">COD per unit mass product </t>
  </si>
  <si>
    <t xml:space="preserve">kg COD/ t proudct </t>
  </si>
  <si>
    <t xml:space="preserve">BOD per unit mass product </t>
  </si>
  <si>
    <t xml:space="preserve">kg BOD/ t proudct </t>
  </si>
  <si>
    <t>(DO/COD/BOD)</t>
  </si>
  <si>
    <t>To ensure hazardous chemicals and materials do not negatively impact biodiversity and ecosystem services</t>
  </si>
  <si>
    <t>Management of storage facilities and safe handling of chemicals, fuel, lubricants and hazardous materials, with the objective of preventing negative impacts to biodiversity and ecosystems</t>
  </si>
  <si>
    <t>Company data 4.5.1</t>
  </si>
  <si>
    <t xml:space="preserve">Specific training for handling and correct use of farm chemicals, fuel, hazardous materials, and record keeping of training and use. </t>
  </si>
  <si>
    <t>Company data 4.5.2</t>
  </si>
  <si>
    <t>Map biodiversity, ecosystem services and risks across the mill’s supply base.</t>
  </si>
  <si>
    <t>Company data 4.1.1</t>
  </si>
  <si>
    <t>Maintain and enhance biodiversity, ecosystem services and HCVs on and around farm areas</t>
  </si>
  <si>
    <t>Company data 4.1.2</t>
  </si>
  <si>
    <t>Percentage of areas of natural ecosystems defined internationally or nationally as legally protected converted to sugarcane on or after 1 January 2008</t>
  </si>
  <si>
    <t>Company data 4.1.3</t>
  </si>
  <si>
    <t>Area developed after 1 January 2008 classified as legally protected</t>
  </si>
  <si>
    <t>Company data 4.1.5</t>
  </si>
  <si>
    <t>Soil Management Plan in place to avoid erosion and maintain and improve soil health</t>
  </si>
  <si>
    <t>Mapping of soils and/or soil management units of the farm</t>
  </si>
  <si>
    <t>Company data 4.2.1</t>
  </si>
  <si>
    <t>Health of the soil improved and maintained, and determined by PH, acidity, and salt load to be measured and recorded.</t>
  </si>
  <si>
    <t>Company data 4.2.2</t>
  </si>
  <si>
    <t>Organic matter objective average</t>
  </si>
  <si>
    <t xml:space="preserve">Soil acidity objective average </t>
  </si>
  <si>
    <t>Salinity / sodicity objective average</t>
  </si>
  <si>
    <t>Health of the soil improved and maintained, and determined by PH, acidity, and salt load to be measured and recorded</t>
  </si>
  <si>
    <t xml:space="preserve"> Health of the soil improved and maintained through setting objectives and implementing appropriate BMPs</t>
  </si>
  <si>
    <t>Company data 4.2.3</t>
  </si>
  <si>
    <t>Ratio of fertiliser N P K applied to fertilizer N P K  recommended by soil analysis</t>
  </si>
  <si>
    <t>&lt;1.1</t>
  </si>
  <si>
    <t>Company data 4.2.5</t>
  </si>
  <si>
    <t>Total N applied</t>
  </si>
  <si>
    <t>Total N element recommended</t>
  </si>
  <si>
    <r>
      <t>Total P</t>
    </r>
    <r>
      <rPr>
        <vertAlign val="subscript"/>
        <sz val="8"/>
        <rFont val="Trebuchet MS"/>
        <family val="2"/>
      </rPr>
      <t>2</t>
    </r>
    <r>
      <rPr>
        <sz val="8"/>
        <rFont val="Trebuchet MS"/>
        <family val="2"/>
      </rPr>
      <t>O</t>
    </r>
    <r>
      <rPr>
        <vertAlign val="subscript"/>
        <sz val="8"/>
        <rFont val="Trebuchet MS"/>
        <family val="2"/>
      </rPr>
      <t>5</t>
    </r>
    <r>
      <rPr>
        <sz val="8"/>
        <rFont val="Trebuchet MS"/>
        <family val="2"/>
      </rPr>
      <t xml:space="preserve"> applied</t>
    </r>
  </si>
  <si>
    <r>
      <t>Total P</t>
    </r>
    <r>
      <rPr>
        <vertAlign val="subscript"/>
        <sz val="8"/>
        <rFont val="Trebuchet MS"/>
        <family val="2"/>
      </rPr>
      <t>2</t>
    </r>
    <r>
      <rPr>
        <sz val="8"/>
        <rFont val="Trebuchet MS"/>
        <family val="2"/>
      </rPr>
      <t>O</t>
    </r>
    <r>
      <rPr>
        <vertAlign val="subscript"/>
        <sz val="8"/>
        <rFont val="Trebuchet MS"/>
        <family val="2"/>
      </rPr>
      <t>5</t>
    </r>
    <r>
      <rPr>
        <sz val="8"/>
        <rFont val="Trebuchet MS"/>
        <family val="2"/>
      </rPr>
      <t xml:space="preserve"> recommended</t>
    </r>
  </si>
  <si>
    <r>
      <t>Total P</t>
    </r>
    <r>
      <rPr>
        <sz val="8"/>
        <rFont val="Trebuchet MS"/>
        <family val="2"/>
      </rPr>
      <t xml:space="preserve"> applied</t>
    </r>
  </si>
  <si>
    <t>Total P element recommended</t>
  </si>
  <si>
    <t xml:space="preserve">Ratio of fertiliser N to fertiliser N recommended </t>
  </si>
  <si>
    <t xml:space="preserve">Ratio of fertiliser N to fertiliser P recommended </t>
  </si>
  <si>
    <t xml:space="preserve">Ratio of fertiliser N to fertiliser K recommended </t>
  </si>
  <si>
    <t>Practices minimise and control erosion and degradation of soils</t>
  </si>
  <si>
    <t>Company data 4.2.6</t>
  </si>
  <si>
    <t>Burning of sugarcane tops and leaves after harvest is prevented</t>
  </si>
  <si>
    <t>To ensure the continous improvement of soil organic carbon</t>
  </si>
  <si>
    <t>Company data 4.2.7</t>
  </si>
  <si>
    <t>For irrigated cane, efficient use of water</t>
  </si>
  <si>
    <t xml:space="preserve">Actual water productivity &gt;= Benchmark water productivity </t>
  </si>
  <si>
    <t>To ensure irrigated water is used efficiently</t>
  </si>
  <si>
    <t>Company data 4.3.5</t>
  </si>
  <si>
    <t xml:space="preserve">Area harvested (irrigated)  </t>
  </si>
  <si>
    <t>All waters applied on fully irrigated cane</t>
  </si>
  <si>
    <t>Including extracted water, recycled water, diluted vinasse, diluted effluents</t>
  </si>
  <si>
    <t>Total sugarcane harvested  (area harvested irrigated)</t>
  </si>
  <si>
    <t>Yields</t>
  </si>
  <si>
    <t>T cane / ha</t>
  </si>
  <si>
    <t>Actual water productivity (Wpa)</t>
  </si>
  <si>
    <t>kg/ha/mm</t>
  </si>
  <si>
    <t>1mm = 0.001 m3/m2 = 0.001 m3/0.0001 ha,  -&gt; 1mm = 10 m3/ha</t>
  </si>
  <si>
    <t>With a rainfall of 1 mm, every square metre receives 1 litre of rain water. A rainfall of 1 mm supplies 0.001 m3, or 1 litre of water to each square metre of the field.</t>
  </si>
  <si>
    <t>Benchmark water productivity (Wpo)</t>
  </si>
  <si>
    <t>Irrigation Water Productivity (Wpa/ Wpo)</t>
  </si>
  <si>
    <t xml:space="preserve">Company Results 4.4.1 </t>
  </si>
  <si>
    <t>Agro-ecological pest and disease management practices implemented</t>
  </si>
  <si>
    <t>Company data 4.4.2</t>
  </si>
  <si>
    <t>Integrated Weed Management plan</t>
  </si>
  <si>
    <t>Company data 4.4.3</t>
  </si>
  <si>
    <t>Agro-chemicals applied per hectare per year.</t>
  </si>
  <si>
    <t>&lt; 5</t>
  </si>
  <si>
    <t>To minimise air, soil and water contamination. Quantities of active ingredients of agro chemicals (including pesticides, herbicides, insecticides, fungicides, nematicides, ripeners) applied calculated as a measure of potential toxic effects on environment. Also note the requirement to use only products registered for use and at registered rates</t>
  </si>
  <si>
    <t>Company data 4.4.4</t>
  </si>
  <si>
    <t xml:space="preserve">Herbicide application rate </t>
  </si>
  <si>
    <t>Insecticide application rate</t>
  </si>
  <si>
    <t>Other crop chemicals</t>
  </si>
  <si>
    <t>kg/ha</t>
  </si>
  <si>
    <t>Company data 4.4.5</t>
  </si>
  <si>
    <t>All workers are trainined for handling an dusage of chemical</t>
  </si>
  <si>
    <t>Principle 3.</t>
  </si>
  <si>
    <t>MANAGE INPUT, PRODUCTION AND PROCESSING EFFICIENCIES TO ENHANCE SUSTAINABILITY</t>
  </si>
  <si>
    <t>To monitor production and process efficiency; to measure the impacts of production and processing so that improvements are made over time</t>
  </si>
  <si>
    <t>Used only if ethanol is not produced.
Value for reporting period or 5 year rolling average 
can be used.</t>
  </si>
  <si>
    <t>Company data 3.1.2</t>
  </si>
  <si>
    <t>Theoretical overall recovery</t>
  </si>
  <si>
    <r>
      <t>The theoretical OR is used if sugar only is being produced and normalized for juice purity and cane fibre content, with an allowance for 2% undetermined loss, is calculated as:
TRS content of cane = w</t>
    </r>
    <r>
      <rPr>
        <vertAlign val="subscript"/>
        <sz val="8"/>
        <rFont val="Trebuchet MS"/>
        <family val="2"/>
      </rPr>
      <t>S,C</t>
    </r>
    <r>
      <rPr>
        <sz val="8"/>
        <rFont val="Trebuchet MS"/>
        <family val="2"/>
      </rPr>
      <t xml:space="preserve"> X OR*, where w</t>
    </r>
    <r>
      <rPr>
        <vertAlign val="subscript"/>
        <sz val="8"/>
        <rFont val="Trebuchet MS"/>
        <family val="2"/>
      </rPr>
      <t>S,C</t>
    </r>
    <r>
      <rPr>
        <sz val="8"/>
        <rFont val="Trebuchet MS"/>
        <family val="2"/>
      </rPr>
      <t xml:space="preserve"> = Sucrose content of cane in g/100 g.
Value for reporting period or 5 year rolling average 
can be used. </t>
    </r>
  </si>
  <si>
    <t>Fermentable total sugars content of cane expressed as invert (TSAI)</t>
  </si>
  <si>
    <t>&gt; 120</t>
  </si>
  <si>
    <t>kg / t cane</t>
  </si>
  <si>
    <r>
      <t>Used if Ethanol is produced, on its own or in conjunction with sugar production</t>
    </r>
    <r>
      <rPr>
        <b/>
        <sz val="8"/>
        <color theme="1"/>
        <rFont val="Trebuchet MS"/>
        <family val="2"/>
      </rPr>
      <t>.</t>
    </r>
    <r>
      <rPr>
        <sz val="8"/>
        <color theme="1"/>
        <rFont val="Trebuchet MS"/>
        <family val="2"/>
      </rPr>
      <t xml:space="preserve"> Based on a 90.5% utilization of Total Sugars As Invert (TSAI).  </t>
    </r>
  </si>
  <si>
    <t>Company data 3.1.3</t>
  </si>
  <si>
    <t>If you don't have this value, fill in the next cell the reducing sugar / sucrose ratio in cane or raw juice, in order to calculate it.</t>
  </si>
  <si>
    <t>Reducing sugar / sucrose ratio in cane or in raw juice</t>
  </si>
  <si>
    <t>Mill overall time efficiency</t>
  </si>
  <si>
    <t>&gt; 75</t>
  </si>
  <si>
    <t>Processing time as a percentage of total time. Value for reporting period or 5 years rolling time average</t>
  </si>
  <si>
    <t>Company data 3.1.5</t>
  </si>
  <si>
    <t>Total open crushing time</t>
  </si>
  <si>
    <t>Company Result 3.1.5</t>
  </si>
  <si>
    <t>Factory performance Index</t>
  </si>
  <si>
    <t>&gt; 90</t>
  </si>
  <si>
    <r>
      <t xml:space="preserve">Used if sugar and no ethanol is produced. Ratio of actual sugar recovery to theoretical recovery of sugar from cane. </t>
    </r>
    <r>
      <rPr>
        <sz val="8"/>
        <rFont val="Trebuchet MS"/>
        <family val="2"/>
      </rPr>
      <t xml:space="preserve">In rare cases where high grade molasses (A or B molasses) is exported for fermentation, industrial efficiency can be used instead. </t>
    </r>
    <r>
      <rPr>
        <b/>
        <sz val="8"/>
        <color rgb="FFFF0000"/>
        <rFont val="Trebuchet MS"/>
        <family val="2"/>
      </rPr>
      <t xml:space="preserve">  </t>
    </r>
  </si>
  <si>
    <t>Company data 3.1.6</t>
  </si>
  <si>
    <t>yes/no</t>
  </si>
  <si>
    <t>Use FPI if ethanol is produced from final molasses only, otherwise use IE</t>
  </si>
  <si>
    <t>Obtained from mill laboratory analysis</t>
  </si>
  <si>
    <t>Overall Sugar Recovery</t>
  </si>
  <si>
    <t>Proportion of sugar produced as white refined</t>
  </si>
  <si>
    <t>Allowance factor for undetermined loss</t>
  </si>
  <si>
    <t>Allowance for sugar loss in bagasse</t>
  </si>
  <si>
    <t xml:space="preserve">Boiling house recovery </t>
  </si>
  <si>
    <r>
      <t>The theoretical OR is used if sugar only is being produced and normalized for juice purity and cane fibre content, is calculated as:
where w</t>
    </r>
    <r>
      <rPr>
        <vertAlign val="subscript"/>
        <sz val="8"/>
        <rFont val="Trebuchet MS"/>
        <family val="2"/>
      </rPr>
      <t>F,C</t>
    </r>
    <r>
      <rPr>
        <sz val="8"/>
        <rFont val="Trebuchet MS"/>
        <family val="2"/>
      </rPr>
      <t xml:space="preserve"> is the fibre content of the cane in g/100 g and PJ the purity of the raw juice. In addition, refining all white sugar in a white end refinery is expected to increase the undetermined loss by 0.4 % of the sugar in raw juice. Then the factor 0.98  becomes 0.976.</t>
    </r>
  </si>
  <si>
    <t>Company Result 3.1.6</t>
  </si>
  <si>
    <t>Factory Performance Index is the actual overall recovery / theoretical overall recovery for sugar manufacture</t>
  </si>
  <si>
    <t>Industrial efficiency</t>
  </si>
  <si>
    <t>Used only if sugar and ethanol are produced in the same mill. It is the ratio of (sugar+equivalent ethanol+eq.sucrose in molasses)/(sucrose in cane + RS in cane converted to sucrose + RS in molasses converted to sucrose + Yeast eq to sucrose) expressed as %.</t>
  </si>
  <si>
    <t>Company data 3.1.7</t>
  </si>
  <si>
    <t xml:space="preserve">Mass of molasses sold </t>
  </si>
  <si>
    <t>Mass of yeast sold</t>
  </si>
  <si>
    <t>Equivalent TSAI output</t>
  </si>
  <si>
    <t>Assumes 681.63 L of Ethanol per tonne of sucrose and 2 kg TSAI/kg yeast. The factor of 0.95 converts sucrose to reducing sugars</t>
  </si>
  <si>
    <t>Total sugars content of cane expressed as reducing sugars (ART)</t>
  </si>
  <si>
    <t xml:space="preserve">Molasses imported </t>
  </si>
  <si>
    <t>TSAI content of imported molasses</t>
  </si>
  <si>
    <t>Equivalent TSAI input</t>
  </si>
  <si>
    <t>To monitor global warming emissions with a view to minimising climate change impacts 
from sugar mill.</t>
  </si>
  <si>
    <t xml:space="preserve"> Climate change adaptation and resilience plan</t>
  </si>
  <si>
    <t>Company data 3.2.1</t>
  </si>
  <si>
    <t xml:space="preserve">To monitor global warming emissions with a view to minimising climate change impacts </t>
  </si>
  <si>
    <t>Net GHG emissions per tonne of sugar</t>
  </si>
  <si>
    <t xml:space="preserve"> &lt; 0.4</t>
  </si>
  <si>
    <r>
      <t>t CO</t>
    </r>
    <r>
      <rPr>
        <vertAlign val="subscript"/>
        <sz val="8"/>
        <color theme="1"/>
        <rFont val="Trebuchet MS"/>
        <family val="2"/>
      </rPr>
      <t>2</t>
    </r>
    <r>
      <rPr>
        <sz val="8"/>
        <color theme="1"/>
        <rFont val="Trebuchet MS"/>
        <family val="2"/>
      </rPr>
      <t xml:space="preserve"> eq / t sugar</t>
    </r>
  </si>
  <si>
    <t>Field-to-gate emissions. Environmental burden is t carbon dioxide equivalent</t>
  </si>
  <si>
    <t>Company data 3.2.2</t>
  </si>
  <si>
    <t>t / t cane</t>
  </si>
  <si>
    <t>Moisture</t>
  </si>
  <si>
    <t>Ash</t>
  </si>
  <si>
    <t>Brix</t>
  </si>
  <si>
    <r>
      <t>Bagasse (LHV)</t>
    </r>
    <r>
      <rPr>
        <sz val="8"/>
        <color rgb="FFFF0000"/>
        <rFont val="Trebuchet MS"/>
        <family val="2"/>
      </rPr>
      <t xml:space="preserve"> </t>
    </r>
  </si>
  <si>
    <t>MJ / t bagasse</t>
  </si>
  <si>
    <t>Reference: Cane Sugar Engineering eq. (27.2)</t>
  </si>
  <si>
    <r>
      <t>GHG emissions from CH</t>
    </r>
    <r>
      <rPr>
        <vertAlign val="subscript"/>
        <sz val="8"/>
        <rFont val="Trebuchet MS"/>
        <family val="2"/>
      </rPr>
      <t>4</t>
    </r>
  </si>
  <si>
    <r>
      <t>g CO</t>
    </r>
    <r>
      <rPr>
        <vertAlign val="subscript"/>
        <sz val="10"/>
        <rFont val="Trebuchet MS"/>
        <family val="2"/>
      </rPr>
      <t>2</t>
    </r>
    <r>
      <rPr>
        <sz val="8"/>
        <rFont val="Trebuchet MS"/>
        <family val="2"/>
      </rPr>
      <t xml:space="preserve"> eq / 1000 MJ</t>
    </r>
  </si>
  <si>
    <t xml:space="preserve">Ref: Wang et al. </t>
  </si>
  <si>
    <r>
      <t>Global warming potential of CH</t>
    </r>
    <r>
      <rPr>
        <vertAlign val="subscript"/>
        <sz val="8"/>
        <rFont val="Trebuchet MS"/>
        <family val="2"/>
      </rPr>
      <t>4</t>
    </r>
  </si>
  <si>
    <t>Source: IPCC 2007, ex BSI: PAS Report</t>
  </si>
  <si>
    <r>
      <t>GHG emissions from N</t>
    </r>
    <r>
      <rPr>
        <vertAlign val="subscript"/>
        <sz val="8"/>
        <rFont val="Trebuchet MS"/>
        <family val="2"/>
      </rPr>
      <t>2</t>
    </r>
    <r>
      <rPr>
        <sz val="8"/>
        <rFont val="Trebuchet MS"/>
        <family val="2"/>
      </rPr>
      <t>O</t>
    </r>
  </si>
  <si>
    <r>
      <t>Global warming potential of N</t>
    </r>
    <r>
      <rPr>
        <vertAlign val="subscript"/>
        <sz val="8"/>
        <rFont val="Trebuchet MS"/>
        <family val="2"/>
      </rPr>
      <t>2</t>
    </r>
    <r>
      <rPr>
        <sz val="8"/>
        <rFont val="Trebuchet MS"/>
        <family val="2"/>
      </rPr>
      <t>O</t>
    </r>
  </si>
  <si>
    <t>Global warming potential of bagasse content</t>
  </si>
  <si>
    <t>Bagasse combustion emissions</t>
  </si>
  <si>
    <r>
      <t>g CO</t>
    </r>
    <r>
      <rPr>
        <vertAlign val="subscript"/>
        <sz val="10"/>
        <rFont val="Trebuchet MS"/>
        <family val="2"/>
      </rPr>
      <t>2</t>
    </r>
    <r>
      <rPr>
        <sz val="8"/>
        <rFont val="Trebuchet MS"/>
        <family val="2"/>
      </rPr>
      <t xml:space="preserve"> eq</t>
    </r>
  </si>
  <si>
    <r>
      <t>Contribution from CH</t>
    </r>
    <r>
      <rPr>
        <vertAlign val="subscript"/>
        <sz val="8"/>
        <rFont val="Trebuchet MS"/>
        <family val="2"/>
      </rPr>
      <t>4</t>
    </r>
    <r>
      <rPr>
        <sz val="8"/>
        <rFont val="Trebuchet MS"/>
        <family val="2"/>
      </rPr>
      <t xml:space="preserve"> and N</t>
    </r>
    <r>
      <rPr>
        <vertAlign val="subscript"/>
        <sz val="8"/>
        <rFont val="Trebuchet MS"/>
        <family val="2"/>
      </rPr>
      <t>2</t>
    </r>
    <r>
      <rPr>
        <sz val="8"/>
        <rFont val="Trebuchet MS"/>
        <family val="2"/>
      </rPr>
      <t>O.</t>
    </r>
  </si>
  <si>
    <t xml:space="preserve">Energy in Diesel used </t>
  </si>
  <si>
    <t>MJ</t>
  </si>
  <si>
    <t>From energy usage calculation</t>
  </si>
  <si>
    <t>GHG emissions from diesel</t>
  </si>
  <si>
    <r>
      <t>g CO</t>
    </r>
    <r>
      <rPr>
        <vertAlign val="subscript"/>
        <sz val="10"/>
        <rFont val="Trebuchet MS"/>
        <family val="2"/>
      </rPr>
      <t>2</t>
    </r>
    <r>
      <rPr>
        <sz val="8"/>
        <rFont val="Trebuchet MS"/>
        <family val="2"/>
      </rPr>
      <t xml:space="preserve"> eq / MJ</t>
    </r>
  </si>
  <si>
    <t>Energy Demand factor for Diesel</t>
  </si>
  <si>
    <t>MJ / MJ fuel</t>
  </si>
  <si>
    <t xml:space="preserve">Factor converts direct energy to primary energy -  Macedo 2008 </t>
  </si>
  <si>
    <t>Diesel emissions</t>
  </si>
  <si>
    <t xml:space="preserve">Factory Coal consumption </t>
  </si>
  <si>
    <t>Lower calorific value of coal (LHV)</t>
  </si>
  <si>
    <t>GHG emissions from coal</t>
  </si>
  <si>
    <t>Coal emissions</t>
  </si>
  <si>
    <r>
      <t>g CO</t>
    </r>
    <r>
      <rPr>
        <vertAlign val="subscript"/>
        <sz val="10"/>
        <rFont val="Trebuchet MS"/>
        <family val="2"/>
      </rPr>
      <t>2</t>
    </r>
    <r>
      <rPr>
        <sz val="8"/>
        <rFont val="Trebuchet MS"/>
        <family val="2"/>
      </rPr>
      <t xml:space="preserve"> eq </t>
    </r>
  </si>
  <si>
    <t>Natural Gas energy</t>
  </si>
  <si>
    <t xml:space="preserve">GHG emissions from  Natural Gas       </t>
  </si>
  <si>
    <t>Natural Gas emissions</t>
  </si>
  <si>
    <t xml:space="preserve">Imported Electrical energy </t>
  </si>
  <si>
    <t xml:space="preserve">GHG emissions from electricity generation    </t>
  </si>
  <si>
    <t>Input average value for generation in country concerned; see Appendix 3 for country specific default values.</t>
  </si>
  <si>
    <t>Necessary to correct value from primary energy calculation. To be obtained from local energy supplier. If mot available, use 40 % for new units (after 2000) or 37.5 % for old units (Ref. CDM; UNFCC/CCNUCC). If unknown, use 37.5%</t>
  </si>
  <si>
    <t>Electricity emissions</t>
  </si>
  <si>
    <t>Lubricants energy</t>
  </si>
  <si>
    <t>From energy usage calculation.</t>
  </si>
  <si>
    <t xml:space="preserve">GHG emissions from Lubricants        </t>
  </si>
  <si>
    <t>Assumed to be the same as for diesel</t>
  </si>
  <si>
    <t>Lubricants emissions</t>
  </si>
  <si>
    <t>Assume not consumed; recycled and/or dumped</t>
  </si>
  <si>
    <t>Imported Biomass energy</t>
  </si>
  <si>
    <t xml:space="preserve">GHG emissions from Imported Biomass     </t>
  </si>
  <si>
    <r>
      <t>CO</t>
    </r>
    <r>
      <rPr>
        <vertAlign val="subscript"/>
        <sz val="8"/>
        <rFont val="Trebuchet MS"/>
        <family val="2"/>
      </rPr>
      <t>2</t>
    </r>
    <r>
      <rPr>
        <sz val="8"/>
        <rFont val="Trebuchet MS"/>
        <family val="2"/>
      </rPr>
      <t xml:space="preserve"> emissions from biomass burning is considered to be equalled by CO</t>
    </r>
    <r>
      <rPr>
        <vertAlign val="subscript"/>
        <sz val="8"/>
        <rFont val="Trebuchet MS"/>
        <family val="2"/>
      </rPr>
      <t>2</t>
    </r>
    <r>
      <rPr>
        <sz val="8"/>
        <rFont val="Trebuchet MS"/>
        <family val="2"/>
      </rPr>
      <t xml:space="preserve"> uptake during biomass growth (but should include GHG in getting it to mill, + CH</t>
    </r>
    <r>
      <rPr>
        <vertAlign val="subscript"/>
        <sz val="8"/>
        <rFont val="Trebuchet MS"/>
        <family val="2"/>
      </rPr>
      <t xml:space="preserve">4 </t>
    </r>
    <r>
      <rPr>
        <sz val="8"/>
        <rFont val="Trebuchet MS"/>
        <family val="2"/>
      </rPr>
      <t>and N</t>
    </r>
    <r>
      <rPr>
        <vertAlign val="subscript"/>
        <sz val="8"/>
        <rFont val="Trebuchet MS"/>
        <family val="2"/>
      </rPr>
      <t>2</t>
    </r>
    <r>
      <rPr>
        <sz val="8"/>
        <rFont val="Trebuchet MS"/>
        <family val="2"/>
      </rPr>
      <t>O from combustion)</t>
    </r>
  </si>
  <si>
    <t xml:space="preserve"> Emissions from imported biomass</t>
  </si>
  <si>
    <t>Capital (plant and equipment) emissions</t>
  </si>
  <si>
    <r>
      <t>g CO</t>
    </r>
    <r>
      <rPr>
        <vertAlign val="subscript"/>
        <sz val="10"/>
        <rFont val="Trebuchet MS"/>
        <family val="2"/>
      </rPr>
      <t>2</t>
    </r>
    <r>
      <rPr>
        <sz val="8"/>
        <rFont val="Trebuchet MS"/>
        <family val="2"/>
      </rPr>
      <t xml:space="preserve"> eq / t cane</t>
    </r>
  </si>
  <si>
    <t>Assumed to be zero, according to EU RED protocol.</t>
  </si>
  <si>
    <t>Process water energy</t>
  </si>
  <si>
    <t xml:space="preserve">GHG emissions from Process water      </t>
  </si>
  <si>
    <t>From GREET model</t>
  </si>
  <si>
    <t>Process water emissions</t>
  </si>
  <si>
    <t>BOD per t cane</t>
  </si>
  <si>
    <t>Assume 0.5 kg BOD per t cane and 1 kg BOD gives 0.21 kg CH4 
(IPCC guideline).</t>
  </si>
  <si>
    <t>Effluent treatment emissions</t>
  </si>
  <si>
    <t>No emissions if flared or if a biodigester captures methane.</t>
  </si>
  <si>
    <t>Energy value of process chemicals</t>
  </si>
  <si>
    <t>From energy usage calculation (embedded energy and transportation energy).</t>
  </si>
  <si>
    <t xml:space="preserve">GHG emissions from production of chemicals </t>
  </si>
  <si>
    <t>Source:   Macedo et al. (2008)</t>
  </si>
  <si>
    <t>Production of chemicals emissions</t>
  </si>
  <si>
    <t>Total mill phase</t>
  </si>
  <si>
    <r>
      <t>kg CO</t>
    </r>
    <r>
      <rPr>
        <vertAlign val="subscript"/>
        <sz val="10"/>
        <rFont val="Trebuchet MS"/>
        <family val="2"/>
      </rPr>
      <t>2</t>
    </r>
    <r>
      <rPr>
        <sz val="8"/>
        <rFont val="Trebuchet MS"/>
        <family val="2"/>
      </rPr>
      <t xml:space="preserve"> eq</t>
    </r>
  </si>
  <si>
    <t>Equals ep (EU RED)</t>
  </si>
  <si>
    <t xml:space="preserve">Energy input for cane transport </t>
  </si>
  <si>
    <t>Transportation of cane to mill emissions</t>
  </si>
  <si>
    <t>Total agricultural phase</t>
  </si>
  <si>
    <r>
      <t>kg CO</t>
    </r>
    <r>
      <rPr>
        <vertAlign val="subscript"/>
        <sz val="10"/>
        <rFont val="Trebuchet MS"/>
        <family val="2"/>
      </rPr>
      <t>2</t>
    </r>
    <r>
      <rPr>
        <sz val="8"/>
        <rFont val="Trebuchet MS"/>
        <family val="2"/>
      </rPr>
      <t xml:space="preserve"> eq / t cane</t>
    </r>
  </si>
  <si>
    <r>
      <t>kg CO</t>
    </r>
    <r>
      <rPr>
        <vertAlign val="subscript"/>
        <sz val="10"/>
        <rFont val="Trebuchet MS"/>
        <family val="2"/>
      </rPr>
      <t>2</t>
    </r>
    <r>
      <rPr>
        <sz val="8"/>
        <rFont val="Trebuchet MS"/>
        <family val="2"/>
      </rPr>
      <t xml:space="preserve"> eq  /t cane</t>
    </r>
  </si>
  <si>
    <t>Total GHG emissions</t>
  </si>
  <si>
    <t>Necessary to correct value from primary energy calculation</t>
  </si>
  <si>
    <t>Emission factors for electricity generation</t>
  </si>
  <si>
    <t>Power export credit</t>
  </si>
  <si>
    <t>Equals eee (EU RED)</t>
  </si>
  <si>
    <t xml:space="preserve">GHG emissions do not benefit from low electricity conversion factor. </t>
  </si>
  <si>
    <t>Bagasse exported</t>
  </si>
  <si>
    <t xml:space="preserve">Emission factors for electricity generation </t>
  </si>
  <si>
    <t xml:space="preserve">Bagasse export credit </t>
  </si>
  <si>
    <t xml:space="preserve">Net Emissions  </t>
  </si>
  <si>
    <t>Molasses credit by allocation as %</t>
  </si>
  <si>
    <t>economic allocation (see P5 Mill)</t>
  </si>
  <si>
    <t>Allocation to molasses</t>
  </si>
  <si>
    <t>Economic allocation : 100xprice molasses per T x mass molasses/(price molasses per T x mass molasses+pricesugar per T x  mass sugar)</t>
  </si>
  <si>
    <r>
      <t>g CO</t>
    </r>
    <r>
      <rPr>
        <vertAlign val="subscript"/>
        <sz val="10"/>
        <rFont val="Trebuchet MS"/>
        <family val="2"/>
      </rPr>
      <t>2</t>
    </r>
    <r>
      <rPr>
        <sz val="8"/>
        <rFont val="Trebuchet MS"/>
        <family val="2"/>
      </rPr>
      <t xml:space="preserve"> eq / g molasses</t>
    </r>
  </si>
  <si>
    <t>Total Net GHG emissions</t>
  </si>
  <si>
    <t>Net GHG emissions</t>
  </si>
  <si>
    <t>t CO2eq / t sugar</t>
  </si>
  <si>
    <t>Percentage GHG allocated to sugar (energy basis)</t>
  </si>
  <si>
    <t>GHG emissions allocated to sugar and ethanol on an enrgy basis</t>
  </si>
  <si>
    <t>Percentage GHG allocated to sugar (economic basis)</t>
  </si>
  <si>
    <t>Company Results 3.2.3</t>
  </si>
  <si>
    <r>
      <t>t CO</t>
    </r>
    <r>
      <rPr>
        <vertAlign val="subscript"/>
        <sz val="10"/>
        <rFont val="Trebuchet MS"/>
        <family val="2"/>
      </rPr>
      <t>2</t>
    </r>
    <r>
      <rPr>
        <sz val="8"/>
        <rFont val="Trebuchet MS"/>
        <family val="2"/>
      </rPr>
      <t xml:space="preserve"> eq / t sugar</t>
    </r>
  </si>
  <si>
    <t>Equals eec+el+ep+eee (EU RED)</t>
  </si>
  <si>
    <t xml:space="preserve">Net GHG emission per MJ of ethanol </t>
  </si>
  <si>
    <t>&lt; 24</t>
  </si>
  <si>
    <r>
      <t>g CO</t>
    </r>
    <r>
      <rPr>
        <vertAlign val="subscript"/>
        <sz val="8"/>
        <color theme="1"/>
        <rFont val="Trebuchet MS"/>
        <family val="2"/>
      </rPr>
      <t>2</t>
    </r>
    <r>
      <rPr>
        <sz val="8"/>
        <color theme="1"/>
        <rFont val="Trebuchet MS"/>
        <family val="2"/>
      </rPr>
      <t xml:space="preserve"> eq / MJ</t>
    </r>
  </si>
  <si>
    <t>Only used if ethanol is produced. Environmental Burden is g carbon dioxide equivalent.</t>
  </si>
  <si>
    <t>Company data 3.2.3</t>
  </si>
  <si>
    <t>Reported HV of sucrose</t>
  </si>
  <si>
    <t>MJ / t sucrose</t>
  </si>
  <si>
    <t>Bubnik et al. (1995)</t>
  </si>
  <si>
    <t>Reported HV of ethanol</t>
  </si>
  <si>
    <t>MJ / L EtOH</t>
  </si>
  <si>
    <t>Percentage GHG allocated to ethanol (energy basis)</t>
  </si>
  <si>
    <t>Percentage GHG allocated to ethanol (economic basis)</t>
  </si>
  <si>
    <t>Economic allocation : 100xprice ethanol per T x mass ethanol/(price ethanol per T x mass ethanol+price sugar per T x  mass sugar)</t>
  </si>
  <si>
    <t>Net GHG emission for sugar</t>
  </si>
  <si>
    <r>
      <t>g CO</t>
    </r>
    <r>
      <rPr>
        <vertAlign val="subscript"/>
        <sz val="10"/>
        <rFont val="Trebuchet MS"/>
        <family val="2"/>
      </rPr>
      <t>2</t>
    </r>
    <r>
      <rPr>
        <sz val="8"/>
        <rFont val="Trebuchet MS"/>
        <family val="2"/>
      </rPr>
      <t xml:space="preserve"> eq / g  sugar</t>
    </r>
  </si>
  <si>
    <t xml:space="preserve">Net GHG emission for ethanol </t>
  </si>
  <si>
    <r>
      <t>g CO</t>
    </r>
    <r>
      <rPr>
        <vertAlign val="subscript"/>
        <sz val="10"/>
        <rFont val="Trebuchet MS"/>
        <family val="2"/>
      </rPr>
      <t>2</t>
    </r>
    <r>
      <rPr>
        <sz val="8"/>
        <rFont val="Trebuchet MS"/>
        <family val="2"/>
      </rPr>
      <t xml:space="preserve"> eq / L EtOH</t>
    </r>
  </si>
  <si>
    <t>Company Results 3.2.4</t>
  </si>
  <si>
    <t>g CO2 eq / MJ</t>
  </si>
  <si>
    <t>Total Net Primary Energy Usage per kg product</t>
  </si>
  <si>
    <t xml:space="preserve"> &lt; 3000</t>
  </si>
  <si>
    <t>kJ / kg</t>
  </si>
  <si>
    <t xml:space="preserve"> Direct and indirect energy inputs. See Appendix 3 for details.</t>
  </si>
  <si>
    <t>Company data 3.2.5</t>
  </si>
  <si>
    <t>Energy value of inputs</t>
  </si>
  <si>
    <t>kWh / t cane</t>
  </si>
  <si>
    <t>To be obtained from local energy supplier. If mot available, use 40 % for new units (after 2000) or 37.5 % for old units (Ref. CDM; UNFCC/CCNUCC)</t>
  </si>
  <si>
    <t>Imported Electrical Energy</t>
  </si>
  <si>
    <t xml:space="preserve">Factor of 3.6 converts kWh to MJ . </t>
  </si>
  <si>
    <t>kg coal / t cane</t>
  </si>
  <si>
    <t xml:space="preserve">Energy in Coal used </t>
  </si>
  <si>
    <r>
      <t>m</t>
    </r>
    <r>
      <rPr>
        <vertAlign val="superscript"/>
        <sz val="8"/>
        <rFont val="Trebuchet MS"/>
        <family val="2"/>
      </rPr>
      <t>3</t>
    </r>
  </si>
  <si>
    <t>Lower heating value of natural gas (LHV)</t>
  </si>
  <si>
    <r>
      <t>MJ/m</t>
    </r>
    <r>
      <rPr>
        <vertAlign val="superscript"/>
        <sz val="8"/>
        <rFont val="Trebuchet MS"/>
        <family val="2"/>
      </rPr>
      <t>3</t>
    </r>
  </si>
  <si>
    <t>Energy demand Factor for natural gas</t>
  </si>
  <si>
    <t>MJ / MJ</t>
  </si>
  <si>
    <t>Factor converts direct energy to primary energy - Macedo et al. (2008)</t>
  </si>
  <si>
    <t>Energy in natural gas used</t>
  </si>
  <si>
    <t>Lubricants</t>
  </si>
  <si>
    <t>If not available, use default value of 6.36 from Wang et al. (2008)</t>
  </si>
  <si>
    <t>Energy Lubricants</t>
  </si>
  <si>
    <t>LHV  of Diesel</t>
  </si>
  <si>
    <t xml:space="preserve">Energy demand factor for Diesel </t>
  </si>
  <si>
    <t>Energy in Diesel used</t>
  </si>
  <si>
    <t>Imported biomass</t>
  </si>
  <si>
    <t>Energy Imported biomass</t>
  </si>
  <si>
    <t>Primary energy in process water</t>
  </si>
  <si>
    <t>kJ / L</t>
  </si>
  <si>
    <t>Default value of 9.41 from Pimental. See Shapouri et al. (2004)</t>
  </si>
  <si>
    <t>Total water (Make-up water) used in processing</t>
  </si>
  <si>
    <t>Water from external sources used in mill</t>
  </si>
  <si>
    <t>Energy associated with make-up water</t>
  </si>
  <si>
    <t>Energy embedded in process chemicals</t>
  </si>
  <si>
    <t>t</t>
  </si>
  <si>
    <t xml:space="preserve">Factory lime usage </t>
  </si>
  <si>
    <r>
      <t>kg C</t>
    </r>
    <r>
      <rPr>
        <vertAlign val="subscript"/>
        <sz val="10"/>
        <rFont val="Trebuchet MS"/>
        <family val="2"/>
      </rPr>
      <t>a</t>
    </r>
    <r>
      <rPr>
        <sz val="8"/>
        <rFont val="Trebuchet MS"/>
        <family val="2"/>
      </rPr>
      <t>O / t cane</t>
    </r>
  </si>
  <si>
    <t xml:space="preserve">Lime embedded energy </t>
  </si>
  <si>
    <t xml:space="preserve">MJ / kg </t>
  </si>
  <si>
    <t>Caustic soda consumption in mill</t>
  </si>
  <si>
    <t>Excludes caustic used in ethanol plant, required in cell C117</t>
  </si>
  <si>
    <t>Caustic soda used in mill</t>
  </si>
  <si>
    <t>Caustic soda embedded energy</t>
  </si>
  <si>
    <t>Ref: Bentsen</t>
  </si>
  <si>
    <t>Biocide enzymes and flocculants embedded energy</t>
  </si>
  <si>
    <r>
      <t xml:space="preserve"> </t>
    </r>
    <r>
      <rPr>
        <sz val="8"/>
        <rFont val="Trebuchet MS"/>
        <family val="2"/>
      </rPr>
      <t>Mortimer et al. 2004</t>
    </r>
  </si>
  <si>
    <t>Boiler feed water treatment chemicals embedded energy</t>
  </si>
  <si>
    <t>Sulfur embedded energy</t>
  </si>
  <si>
    <t>Ref. Mortimer et al. (2004)</t>
  </si>
  <si>
    <t>Factory sulfur usage embedded energy</t>
  </si>
  <si>
    <t>Energy in chemicals used in ethanol processing</t>
  </si>
  <si>
    <t>Caustic soda Consumption</t>
  </si>
  <si>
    <t>Excludes caustic used in mill for chem cleaning etc. in cell C98 above</t>
  </si>
  <si>
    <t xml:space="preserve">Caustic soda </t>
  </si>
  <si>
    <t>kg / L Ethanol</t>
  </si>
  <si>
    <t xml:space="preserve">Energy content of caustic soda </t>
  </si>
  <si>
    <r>
      <t>H</t>
    </r>
    <r>
      <rPr>
        <vertAlign val="subscript"/>
        <sz val="8"/>
        <rFont val="Trebuchet MS"/>
        <family val="2"/>
      </rPr>
      <t>2</t>
    </r>
    <r>
      <rPr>
        <sz val="8"/>
        <rFont val="Trebuchet MS"/>
        <family val="2"/>
      </rPr>
      <t>SO</t>
    </r>
    <r>
      <rPr>
        <vertAlign val="subscript"/>
        <sz val="8"/>
        <rFont val="Trebuchet MS"/>
        <family val="2"/>
      </rPr>
      <t>4</t>
    </r>
  </si>
  <si>
    <r>
      <t>Energy content of H</t>
    </r>
    <r>
      <rPr>
        <vertAlign val="subscript"/>
        <sz val="8"/>
        <rFont val="Trebuchet MS"/>
        <family val="2"/>
      </rPr>
      <t>2</t>
    </r>
    <r>
      <rPr>
        <sz val="8"/>
        <rFont val="Trebuchet MS"/>
        <family val="2"/>
      </rPr>
      <t>SO</t>
    </r>
    <r>
      <rPr>
        <vertAlign val="subscript"/>
        <sz val="8"/>
        <rFont val="Trebuchet MS"/>
        <family val="2"/>
      </rPr>
      <t>4</t>
    </r>
  </si>
  <si>
    <r>
      <t>H</t>
    </r>
    <r>
      <rPr>
        <vertAlign val="subscript"/>
        <sz val="8"/>
        <rFont val="Trebuchet MS"/>
        <family val="2"/>
      </rPr>
      <t>2</t>
    </r>
    <r>
      <rPr>
        <sz val="8"/>
        <rFont val="Trebuchet MS"/>
        <family val="2"/>
      </rPr>
      <t>SO</t>
    </r>
    <r>
      <rPr>
        <vertAlign val="subscript"/>
        <sz val="8"/>
        <rFont val="Trebuchet MS"/>
        <family val="2"/>
      </rPr>
      <t xml:space="preserve">4 </t>
    </r>
    <r>
      <rPr>
        <sz val="8"/>
        <rFont val="Trebuchet MS"/>
        <family val="2"/>
      </rPr>
      <t>embedded energy</t>
    </r>
  </si>
  <si>
    <t>Anti foam</t>
  </si>
  <si>
    <t>Energy content of Anti foam</t>
  </si>
  <si>
    <t>Anti foam embedded energy</t>
  </si>
  <si>
    <t>Energy content of Lubricants</t>
  </si>
  <si>
    <t>Lubricants embedded energy</t>
  </si>
  <si>
    <t xml:space="preserve">Nitrogen </t>
  </si>
  <si>
    <t>Energy content of Nitrogen</t>
  </si>
  <si>
    <t>Nitrogen embedded energy</t>
  </si>
  <si>
    <t>Other chemicals used</t>
  </si>
  <si>
    <t>Other chemicals</t>
  </si>
  <si>
    <t>Energy content of other chemicals</t>
  </si>
  <si>
    <t>Average default value</t>
  </si>
  <si>
    <t>Other chemicals embedded energy</t>
  </si>
  <si>
    <t>Chemicals used in ethanol processing embedded energy</t>
  </si>
  <si>
    <t>Energy used in transporting chemicals</t>
  </si>
  <si>
    <t>Caustic soda</t>
  </si>
  <si>
    <t>Anti-foam</t>
  </si>
  <si>
    <t>Nitrogen</t>
  </si>
  <si>
    <t>Total of chemicals used in ethanol production</t>
  </si>
  <si>
    <r>
      <t>kg C</t>
    </r>
    <r>
      <rPr>
        <vertAlign val="subscript"/>
        <sz val="10"/>
        <rFont val="Trebuchet MS"/>
        <family val="2"/>
      </rPr>
      <t>a</t>
    </r>
    <r>
      <rPr>
        <sz val="8"/>
        <rFont val="Trebuchet MS"/>
        <family val="2"/>
      </rPr>
      <t>O</t>
    </r>
  </si>
  <si>
    <t>Caustic soda used</t>
  </si>
  <si>
    <t>Boiler feed water chemicals used</t>
  </si>
  <si>
    <t>Biocide enzymes and flocculants used</t>
  </si>
  <si>
    <t>Mill chemicals</t>
  </si>
  <si>
    <t>Energy involved in transporting chemicals</t>
  </si>
  <si>
    <t>Energy used in transporting chemicals per t cane</t>
  </si>
  <si>
    <t>Embedded and transport energy value of process chemicals</t>
  </si>
  <si>
    <t>Total mill phase per t cane</t>
  </si>
  <si>
    <t>kWh/t cane</t>
  </si>
  <si>
    <t>Uses electric power energy efficiency input above</t>
  </si>
  <si>
    <t>Power exported per t cane</t>
  </si>
  <si>
    <t xml:space="preserve">Moisture content </t>
  </si>
  <si>
    <t>Calorific value of bagasse LCV</t>
  </si>
  <si>
    <t>Energy content of Bagasse exported</t>
  </si>
  <si>
    <t>Use LHV, adjusted for boiler effys (79 vs 92%) 
Reference : Macedo et al. (2008)</t>
  </si>
  <si>
    <t>Mill Net Primary Energy Usage</t>
  </si>
  <si>
    <t xml:space="preserve">Total Agricultural Phase </t>
  </si>
  <si>
    <t xml:space="preserve">Transportation of cane </t>
  </si>
  <si>
    <t>Total Mill Phase</t>
  </si>
  <si>
    <t xml:space="preserve">Net Primary Energy Usage </t>
  </si>
  <si>
    <t>Molasses credit</t>
  </si>
  <si>
    <t xml:space="preserve">Total Net Primary Energy Usage Rate </t>
  </si>
  <si>
    <t>Company Results 3.2.5</t>
  </si>
  <si>
    <t>kJ /kg Product</t>
  </si>
  <si>
    <t>Energy used in cane transport per tonne cane transported</t>
  </si>
  <si>
    <t>&lt; 50</t>
  </si>
  <si>
    <t>Company data 3.2.6</t>
  </si>
  <si>
    <t xml:space="preserve">Indicator </t>
  </si>
  <si>
    <t>Diesel consumption of transport vehicles</t>
  </si>
  <si>
    <t>Sugarcane transported</t>
  </si>
  <si>
    <t>Diesel used in the transport of cane per tonne</t>
  </si>
  <si>
    <t xml:space="preserve"> / t cane</t>
  </si>
  <si>
    <t>Diesel Energy per liter</t>
  </si>
  <si>
    <t>Diesel energy used in the transport per tonne</t>
  </si>
  <si>
    <t>Diesel Energy Demand</t>
  </si>
  <si>
    <t>MJ / MJ diesel</t>
  </si>
  <si>
    <t>Alternative way of calculation</t>
  </si>
  <si>
    <t xml:space="preserve">Average Cane Transport Distance (1 way) </t>
  </si>
  <si>
    <t>Average Diesel Consumption of transport vehicles</t>
  </si>
  <si>
    <t>Diesel used in transportation for one payload</t>
  </si>
  <si>
    <t>Diesel Energy used in transport per payload</t>
  </si>
  <si>
    <t>Average Payload</t>
  </si>
  <si>
    <t>Company Results 3.2.6</t>
  </si>
  <si>
    <t xml:space="preserve">Energy Return On Investment (EROI) </t>
  </si>
  <si>
    <t>&gt;9</t>
  </si>
  <si>
    <t>Company data 3.2.8</t>
  </si>
  <si>
    <t xml:space="preserve">Total agricultural phase energy </t>
  </si>
  <si>
    <t xml:space="preserve">Total transportation phase energy </t>
  </si>
  <si>
    <t xml:space="preserve">Total mill phase energy </t>
  </si>
  <si>
    <t xml:space="preserve">Total energy input for EROI </t>
  </si>
  <si>
    <t xml:space="preserve">Ethanol production </t>
  </si>
  <si>
    <t xml:space="preserve">Electricity export </t>
  </si>
  <si>
    <t xml:space="preserve">Total energy output for EROI </t>
  </si>
  <si>
    <t>Company Results 3.2.8</t>
  </si>
  <si>
    <t>Energy Retrun On Investment (EROI)</t>
  </si>
  <si>
    <t>Intermediary calculation</t>
  </si>
  <si>
    <t>Standard calculation</t>
  </si>
  <si>
    <r>
      <t xml:space="preserve">Area harvested (irrigated)  </t>
    </r>
    <r>
      <rPr>
        <sz val="10"/>
        <color rgb="FFFF0000"/>
        <rFont val="Calibri"/>
        <family val="2"/>
        <scheme val="minor"/>
      </rPr>
      <t/>
    </r>
  </si>
  <si>
    <t>Total sugarcane yield  (area harvested irrigated)</t>
  </si>
  <si>
    <t xml:space="preserve">Yield productivity (irrigated) </t>
  </si>
  <si>
    <t>t cane / (ha.y)</t>
  </si>
  <si>
    <t xml:space="preserve">Total sugarcane yield (dryland) </t>
  </si>
  <si>
    <t xml:space="preserve">Yield productivity (dryland) </t>
  </si>
  <si>
    <t xml:space="preserve">Average sugarcane yield </t>
  </si>
  <si>
    <t>Sugarcane yield (irrigated/dryland)</t>
  </si>
  <si>
    <t>Company data 3.1.1</t>
  </si>
  <si>
    <t xml:space="preserve">Sugarcane yield (irrigated)                                                                 </t>
  </si>
  <si>
    <t>Standard value depends on climatic zone. See Univ. of Minnesota table.</t>
  </si>
  <si>
    <t>Total sugarcane harvested (area harvested irrigated)</t>
  </si>
  <si>
    <t>Sugarcane yield (irrigated)</t>
  </si>
  <si>
    <t>t cane / ha</t>
  </si>
  <si>
    <t>Criterion 3.1.1</t>
  </si>
  <si>
    <t xml:space="preserve">Sugarcane yield (dry land)                                                                 </t>
  </si>
  <si>
    <t xml:space="preserve">Total sugarcane harvested (dryland) </t>
  </si>
  <si>
    <t>Sugarcane yield  (dryland)</t>
  </si>
  <si>
    <t>To monitor production and process efficiency; to measure the impacts of production and processing so that improvements are made over time
from sugar mill.</t>
  </si>
  <si>
    <t>Used only if ethanol is not produced
The theoretical recovery normalized for juice purity and cane fibre content calculation shown in Appendix 1.
Value for reporting period or 5 years rolling average can be used.</t>
  </si>
  <si>
    <r>
      <t>The theoretical OR is used if sugar only is being produced and normalized for juice purity and cane fibre content, with an allowance for 2% undetermined loss, is calculated as:
TRS content of cane = w</t>
    </r>
    <r>
      <rPr>
        <vertAlign val="subscript"/>
        <sz val="8"/>
        <rFont val="Trebuchet MS"/>
        <family val="2"/>
      </rPr>
      <t>S,C</t>
    </r>
    <r>
      <rPr>
        <sz val="8"/>
        <rFont val="Trebuchet MS"/>
        <family val="2"/>
      </rPr>
      <t xml:space="preserve"> X OR*, where w</t>
    </r>
    <r>
      <rPr>
        <vertAlign val="subscript"/>
        <sz val="8"/>
        <rFont val="Trebuchet MS"/>
        <family val="2"/>
      </rPr>
      <t>S,C</t>
    </r>
    <r>
      <rPr>
        <sz val="8"/>
        <rFont val="Trebuchet MS"/>
        <family val="2"/>
      </rPr>
      <t xml:space="preserve"> = Sucrose content of cane in g/100 g.
Value for reporting period or 5 years rolling average 
can be used. </t>
    </r>
  </si>
  <si>
    <t>Total sugars content of cane expressed as TSAI</t>
  </si>
  <si>
    <t xml:space="preserve"> Efficiency of harvesting operations</t>
  </si>
  <si>
    <t>&lt;16 for machine harvesting
&lt;24 manual green harvesting
&lt;48 burnt cane harvesting</t>
  </si>
  <si>
    <t>Company data 3.1.4</t>
  </si>
  <si>
    <t>Net GHG emissions per tonne of cane</t>
  </si>
  <si>
    <t>Total &lt; 0.4</t>
  </si>
  <si>
    <t>Agric &lt; 40</t>
  </si>
  <si>
    <t>kg CO2eq / t cane</t>
  </si>
  <si>
    <t xml:space="preserve">This is an approximate estimate, which goes toward calculation of total emissions on mill spreadsheet </t>
  </si>
  <si>
    <t xml:space="preserve">Nitrogen production </t>
  </si>
  <si>
    <r>
      <t>kg CO</t>
    </r>
    <r>
      <rPr>
        <vertAlign val="subscript"/>
        <sz val="8"/>
        <color theme="1"/>
        <rFont val="Trebuchet MS"/>
        <family val="2"/>
      </rPr>
      <t xml:space="preserve">2 </t>
    </r>
    <r>
      <rPr>
        <sz val="8"/>
        <color theme="1"/>
        <rFont val="Trebuchet MS"/>
        <family val="2"/>
      </rPr>
      <t>eq / kg N</t>
    </r>
  </si>
  <si>
    <t>Ref Appendix 3 of Standards</t>
  </si>
  <si>
    <t xml:space="preserve">N Applied, as elemental N </t>
  </si>
  <si>
    <t>Average for plant and ratoon cane. Total use per annum /total area under cane</t>
  </si>
  <si>
    <r>
      <t>N</t>
    </r>
    <r>
      <rPr>
        <vertAlign val="subscript"/>
        <sz val="8"/>
        <rFont val="Trebuchet MS"/>
        <family val="2"/>
      </rPr>
      <t>2</t>
    </r>
    <r>
      <rPr>
        <sz val="8"/>
        <rFont val="Trebuchet MS"/>
        <family val="2"/>
      </rPr>
      <t xml:space="preserve">O emissions from N fertilizer </t>
    </r>
  </si>
  <si>
    <t>Nitrogen fertilizer emissions</t>
  </si>
  <si>
    <r>
      <t>kg CO</t>
    </r>
    <r>
      <rPr>
        <vertAlign val="subscript"/>
        <sz val="8"/>
        <color theme="1"/>
        <rFont val="Trebuchet MS"/>
        <family val="2"/>
      </rPr>
      <t xml:space="preserve">2 </t>
    </r>
    <r>
      <rPr>
        <sz val="8"/>
        <color theme="1"/>
        <rFont val="Trebuchet MS"/>
        <family val="2"/>
      </rPr>
      <t>eq</t>
    </r>
  </si>
  <si>
    <t xml:space="preserve">Phosphorus </t>
  </si>
  <si>
    <r>
      <t>kg CO</t>
    </r>
    <r>
      <rPr>
        <vertAlign val="subscript"/>
        <sz val="8"/>
        <color theme="1"/>
        <rFont val="Trebuchet MS"/>
        <family val="2"/>
      </rPr>
      <t xml:space="preserve">2 </t>
    </r>
    <r>
      <rPr>
        <sz val="8"/>
        <color theme="1"/>
        <rFont val="Trebuchet MS"/>
        <family val="2"/>
      </rPr>
      <t xml:space="preserve">eq / kg </t>
    </r>
  </si>
  <si>
    <r>
      <t>P</t>
    </r>
    <r>
      <rPr>
        <vertAlign val="subscript"/>
        <sz val="8"/>
        <rFont val="Trebuchet MS"/>
        <family val="2"/>
      </rPr>
      <t>2</t>
    </r>
    <r>
      <rPr>
        <sz val="8"/>
        <rFont val="Trebuchet MS"/>
        <family val="2"/>
      </rPr>
      <t>O</t>
    </r>
    <r>
      <rPr>
        <vertAlign val="subscript"/>
        <sz val="8"/>
        <rFont val="Trebuchet MS"/>
        <family val="2"/>
      </rPr>
      <t>5</t>
    </r>
    <r>
      <rPr>
        <sz val="8"/>
        <rFont val="Trebuchet MS"/>
        <family val="2"/>
      </rPr>
      <t xml:space="preserve"> application </t>
    </r>
  </si>
  <si>
    <t>Total use per annum /total area under cane</t>
  </si>
  <si>
    <t>Phosphorus fertilizer emissions</t>
  </si>
  <si>
    <t>(If fertilzer specified as P, P2O5 = P x 2.33)</t>
  </si>
  <si>
    <t xml:space="preserve">Potassium </t>
  </si>
  <si>
    <r>
      <t>K</t>
    </r>
    <r>
      <rPr>
        <vertAlign val="subscript"/>
        <sz val="8"/>
        <rFont val="Trebuchet MS"/>
        <family val="2"/>
      </rPr>
      <t>2</t>
    </r>
    <r>
      <rPr>
        <sz val="8"/>
        <rFont val="Trebuchet MS"/>
        <family val="2"/>
      </rPr>
      <t xml:space="preserve">O application </t>
    </r>
  </si>
  <si>
    <t>Potassium fertilizer emissions</t>
  </si>
  <si>
    <t>(If fertilzer specified as K, K2O = K x 1.19)</t>
  </si>
  <si>
    <t xml:space="preserve">Lime production and transportation </t>
  </si>
  <si>
    <r>
      <t>Lime (CaCO</t>
    </r>
    <r>
      <rPr>
        <vertAlign val="subscript"/>
        <sz val="8"/>
        <rFont val="Trebuchet MS"/>
        <family val="2"/>
      </rPr>
      <t>3</t>
    </r>
    <r>
      <rPr>
        <sz val="8"/>
        <rFont val="Trebuchet MS"/>
        <family val="2"/>
      </rPr>
      <t xml:space="preserve">) application </t>
    </r>
  </si>
  <si>
    <t>Calculated from emissions factors for use of limestone or dolomite for agricultural liming from Revised 1996 IPCC Guidelines for National Greenhouse Gas Inventories</t>
  </si>
  <si>
    <t xml:space="preserve">Lime application </t>
  </si>
  <si>
    <t>Lime</t>
  </si>
  <si>
    <t xml:space="preserve">Herbicide (average mix for biomass) </t>
  </si>
  <si>
    <t>Herbicide</t>
  </si>
  <si>
    <t xml:space="preserve">Pesticide (average mix for biomass) </t>
  </si>
  <si>
    <t>Pesticide</t>
  </si>
  <si>
    <t xml:space="preserve">Ripener (average mix for biomass) </t>
  </si>
  <si>
    <t>Ecoinvent V2.2</t>
  </si>
  <si>
    <t xml:space="preserve">Ripener application rate </t>
  </si>
  <si>
    <t xml:space="preserve">Ripener </t>
  </si>
  <si>
    <t xml:space="preserve">Other crop chemicals (average mix for biomass) </t>
  </si>
  <si>
    <t>Reference required</t>
  </si>
  <si>
    <t>Other crop chemicals application rate</t>
  </si>
  <si>
    <t xml:space="preserve">N Application rate, as elemental N </t>
  </si>
  <si>
    <t xml:space="preserve">Pesticide application rate </t>
  </si>
  <si>
    <t>Tranport emissions per kg transported</t>
  </si>
  <si>
    <r>
      <t>kg CO</t>
    </r>
    <r>
      <rPr>
        <vertAlign val="subscript"/>
        <sz val="8"/>
        <color theme="1"/>
        <rFont val="Trebuchet MS"/>
        <family val="2"/>
      </rPr>
      <t xml:space="preserve">2 </t>
    </r>
    <r>
      <rPr>
        <sz val="8"/>
        <color theme="1"/>
        <rFont val="Trebuchet MS"/>
        <family val="2"/>
      </rPr>
      <t>eq / kg</t>
    </r>
  </si>
  <si>
    <r>
      <t>Reported in GREET 1.6 as 0.04878 g CO</t>
    </r>
    <r>
      <rPr>
        <vertAlign val="subscript"/>
        <sz val="8"/>
        <rFont val="Trebuchet MS"/>
        <family val="2"/>
      </rPr>
      <t>2</t>
    </r>
    <r>
      <rPr>
        <sz val="8"/>
        <rFont val="Trebuchet MS"/>
        <family val="2"/>
      </rPr>
      <t>, 0.00005 g CH</t>
    </r>
    <r>
      <rPr>
        <vertAlign val="subscript"/>
        <sz val="8"/>
        <rFont val="Trebuchet MS"/>
        <family val="2"/>
      </rPr>
      <t>4</t>
    </r>
    <r>
      <rPr>
        <sz val="8"/>
        <rFont val="Trebuchet MS"/>
        <family val="2"/>
      </rPr>
      <t xml:space="preserve"> and 0 g NO</t>
    </r>
    <r>
      <rPr>
        <vertAlign val="subscript"/>
        <sz val="8"/>
        <rFont val="Trebuchet MS"/>
        <family val="2"/>
      </rPr>
      <t>2</t>
    </r>
    <r>
      <rPr>
        <sz val="8"/>
        <rFont val="Trebuchet MS"/>
        <family val="2"/>
      </rPr>
      <t xml:space="preserve"> per g chemical transported. </t>
    </r>
  </si>
  <si>
    <t>Transport emissions - fertilizers</t>
  </si>
  <si>
    <t>Fuel used in transport of workers to be excluded</t>
  </si>
  <si>
    <t>L / ha</t>
  </si>
  <si>
    <t>Gasoline energy per liter (LHV)</t>
  </si>
  <si>
    <t>Default value is 31.45 MJ/L. A more representative value for local fuel may be used if available.</t>
  </si>
  <si>
    <t xml:space="preserve">Gasoline emissions factor </t>
  </si>
  <si>
    <r>
      <t>kg CO</t>
    </r>
    <r>
      <rPr>
        <vertAlign val="subscript"/>
        <sz val="8"/>
        <rFont val="Trebuchet MS"/>
        <family val="2"/>
      </rPr>
      <t xml:space="preserve">2 </t>
    </r>
    <r>
      <rPr>
        <sz val="8"/>
        <rFont val="Trebuchet MS"/>
        <family val="2"/>
      </rPr>
      <t>eq / MJ</t>
    </r>
  </si>
  <si>
    <t>Gasoline</t>
  </si>
  <si>
    <t>Average for plant and ratoon cane. Include diesel used in irrigation. Fuel used in transport of workers to be excluded</t>
  </si>
  <si>
    <t xml:space="preserve">Diesel emissions factor  </t>
  </si>
  <si>
    <r>
      <t>kg CO</t>
    </r>
    <r>
      <rPr>
        <vertAlign val="subscript"/>
        <sz val="8"/>
        <color theme="1"/>
        <rFont val="Trebuchet MS"/>
        <family val="2"/>
      </rPr>
      <t xml:space="preserve">2 </t>
    </r>
    <r>
      <rPr>
        <sz val="8"/>
        <color theme="1"/>
        <rFont val="Trebuchet MS"/>
        <family val="2"/>
      </rPr>
      <t>eq / MJ</t>
    </r>
  </si>
  <si>
    <t>Diesel</t>
  </si>
  <si>
    <t>MJ/L</t>
  </si>
  <si>
    <t xml:space="preserve">Fuel emissions factor </t>
  </si>
  <si>
    <t xml:space="preserve">Aircraft fuel </t>
  </si>
  <si>
    <t xml:space="preserve">Aerial spraying emissions factor </t>
  </si>
  <si>
    <t xml:space="preserve">L/ha/operation </t>
  </si>
  <si>
    <t>Energy demand factor for natural gas</t>
  </si>
  <si>
    <t xml:space="preserve">Factor converts direct energy to primary energy - Source Macedo et al. (2008) </t>
  </si>
  <si>
    <t xml:space="preserve">Natural Gas emissions factor </t>
  </si>
  <si>
    <t xml:space="preserve">Natural Gas </t>
  </si>
  <si>
    <r>
      <t>kg CO</t>
    </r>
    <r>
      <rPr>
        <vertAlign val="subscript"/>
        <sz val="8"/>
        <rFont val="Trebuchet MS"/>
        <family val="2"/>
      </rPr>
      <t xml:space="preserve">2 </t>
    </r>
    <r>
      <rPr>
        <sz val="8"/>
        <rFont val="Trebuchet MS"/>
        <family val="2"/>
      </rPr>
      <t>eq</t>
    </r>
  </si>
  <si>
    <t xml:space="preserve">Electricity </t>
  </si>
  <si>
    <t>from energy tab</t>
  </si>
  <si>
    <t>Input average value for generation in country concerned</t>
  </si>
  <si>
    <t>Electricity</t>
  </si>
  <si>
    <r>
      <t>kg CO</t>
    </r>
    <r>
      <rPr>
        <vertAlign val="subscript"/>
        <sz val="8"/>
        <color theme="1"/>
        <rFont val="Trebuchet MS"/>
        <family val="2"/>
      </rPr>
      <t>2</t>
    </r>
    <r>
      <rPr>
        <sz val="8"/>
        <color theme="1"/>
        <rFont val="Trebuchet MS"/>
        <family val="2"/>
      </rPr>
      <t>eq</t>
    </r>
  </si>
  <si>
    <t>Electrical Energy used in irrigation</t>
  </si>
  <si>
    <t>Emissions from energy used in irrigation</t>
  </si>
  <si>
    <t>% of crop</t>
  </si>
  <si>
    <t>Crop Yield - cane harvested</t>
  </si>
  <si>
    <t>EM in cane delivered to mill (50 % M)</t>
  </si>
  <si>
    <t>t DM / 100 t cane</t>
  </si>
  <si>
    <t>This calculation assumes 50 % moisture in EM</t>
  </si>
  <si>
    <t>Cane residue Dry Matter left in field</t>
  </si>
  <si>
    <r>
      <t>N</t>
    </r>
    <r>
      <rPr>
        <vertAlign val="subscript"/>
        <sz val="8"/>
        <rFont val="Trebuchet MS"/>
        <family val="2"/>
      </rPr>
      <t>2</t>
    </r>
    <r>
      <rPr>
        <sz val="8"/>
        <rFont val="Trebuchet MS"/>
        <family val="2"/>
      </rPr>
      <t>O released per t DM burnt</t>
    </r>
  </si>
  <si>
    <t>kg / t DM</t>
  </si>
  <si>
    <t>IPCC emission factor for burning biomass</t>
  </si>
  <si>
    <r>
      <t>Global warming potential of N</t>
    </r>
    <r>
      <rPr>
        <vertAlign val="subscript"/>
        <sz val="8"/>
        <color theme="1"/>
        <rFont val="Trebuchet MS"/>
        <family val="2"/>
      </rPr>
      <t>2</t>
    </r>
    <r>
      <rPr>
        <sz val="8"/>
        <color theme="1"/>
        <rFont val="Trebuchet MS"/>
        <family val="2"/>
      </rPr>
      <t>O</t>
    </r>
  </si>
  <si>
    <r>
      <t>CH</t>
    </r>
    <r>
      <rPr>
        <vertAlign val="subscript"/>
        <sz val="8"/>
        <color theme="1"/>
        <rFont val="Trebuchet MS"/>
        <family val="2"/>
      </rPr>
      <t>4</t>
    </r>
    <r>
      <rPr>
        <sz val="8"/>
        <color theme="1"/>
        <rFont val="Trebuchet MS"/>
        <family val="2"/>
      </rPr>
      <t xml:space="preserve"> released per t DM burnt</t>
    </r>
  </si>
  <si>
    <r>
      <t>Global warming potential of CH</t>
    </r>
    <r>
      <rPr>
        <vertAlign val="subscript"/>
        <sz val="8"/>
        <color theme="1"/>
        <rFont val="Trebuchet MS"/>
        <family val="2"/>
      </rPr>
      <t>4</t>
    </r>
  </si>
  <si>
    <t>Emissions from burning DM</t>
  </si>
  <si>
    <r>
      <t>kg CO</t>
    </r>
    <r>
      <rPr>
        <vertAlign val="subscript"/>
        <sz val="8"/>
        <rFont val="Trebuchet MS"/>
        <family val="2"/>
      </rPr>
      <t>2</t>
    </r>
    <r>
      <rPr>
        <sz val="8"/>
        <rFont val="Trebuchet MS"/>
        <family val="2"/>
      </rPr>
      <t xml:space="preserve"> eq/ t DM burnt</t>
    </r>
  </si>
  <si>
    <t>Emissions from sugarcane burning</t>
  </si>
  <si>
    <t>Green Sugarcane harvested</t>
  </si>
  <si>
    <t>Crop Yield</t>
  </si>
  <si>
    <t>N content of residue</t>
  </si>
  <si>
    <t>Macedo et al. (2008)</t>
  </si>
  <si>
    <r>
      <t>N residue converted to N</t>
    </r>
    <r>
      <rPr>
        <vertAlign val="subscript"/>
        <sz val="8"/>
        <color theme="1"/>
        <rFont val="Trebuchet MS"/>
        <family val="2"/>
      </rPr>
      <t>2</t>
    </r>
    <r>
      <rPr>
        <sz val="8"/>
        <color theme="1"/>
        <rFont val="Trebuchet MS"/>
        <family val="2"/>
      </rPr>
      <t>O</t>
    </r>
  </si>
  <si>
    <t>Assumes 1.225 % of N in residue is converted to N in N2O (Macedo 2008)</t>
  </si>
  <si>
    <t>Emissions from residual EM left in fields</t>
  </si>
  <si>
    <r>
      <t>Factor of 44/28 converts N to N</t>
    </r>
    <r>
      <rPr>
        <vertAlign val="subscript"/>
        <sz val="8"/>
        <rFont val="Trebuchet MS"/>
        <family val="2"/>
      </rPr>
      <t>2</t>
    </r>
    <r>
      <rPr>
        <sz val="8"/>
        <rFont val="Trebuchet MS"/>
        <family val="2"/>
      </rPr>
      <t>0</t>
    </r>
  </si>
  <si>
    <t>Area under cane</t>
  </si>
  <si>
    <t xml:space="preserve">Filter cake application </t>
  </si>
  <si>
    <t>t/ha</t>
  </si>
  <si>
    <t>N content of filter cake</t>
  </si>
  <si>
    <t>Filter cake N content 12.5 kg/t (Macedo 2008). Assume 75 % moisture.</t>
  </si>
  <si>
    <r>
      <t>Assumes 1.225 % of N in residue is converted to N in N</t>
    </r>
    <r>
      <rPr>
        <vertAlign val="subscript"/>
        <sz val="8"/>
        <rFont val="Trebuchet MS"/>
        <family val="2"/>
      </rPr>
      <t>2</t>
    </r>
    <r>
      <rPr>
        <sz val="8"/>
        <rFont val="Trebuchet MS"/>
        <family val="2"/>
      </rPr>
      <t>O (Macedo 2008).</t>
    </r>
  </si>
  <si>
    <t>Emissions from filter cake</t>
  </si>
  <si>
    <r>
      <t>N residue converted to N</t>
    </r>
    <r>
      <rPr>
        <vertAlign val="subscript"/>
        <sz val="8"/>
        <rFont val="Trebuchet MS"/>
        <family val="2"/>
      </rPr>
      <t>2</t>
    </r>
    <r>
      <rPr>
        <sz val="8"/>
        <rFont val="Trebuchet MS"/>
        <family val="2"/>
      </rPr>
      <t>O</t>
    </r>
  </si>
  <si>
    <t>Emissions at 11 L vinasse / L ethanol</t>
  </si>
  <si>
    <r>
      <t>kg CO</t>
    </r>
    <r>
      <rPr>
        <vertAlign val="subscript"/>
        <sz val="8"/>
        <rFont val="Trebuchet MS"/>
        <family val="2"/>
      </rPr>
      <t xml:space="preserve">2 </t>
    </r>
    <r>
      <rPr>
        <sz val="8"/>
        <rFont val="Trebuchet MS"/>
        <family val="2"/>
      </rPr>
      <t>eq / L EtOH</t>
    </r>
  </si>
  <si>
    <t>Ethanol Production / y</t>
  </si>
  <si>
    <t>L EtOH</t>
  </si>
  <si>
    <t xml:space="preserve">Vinasse </t>
  </si>
  <si>
    <t>N content of vinasse</t>
  </si>
  <si>
    <t>Vinasse quantity</t>
  </si>
  <si>
    <t>L / L EtOH</t>
  </si>
  <si>
    <t>Emissions from vinasse</t>
  </si>
  <si>
    <t>Capital (plant and equipment)</t>
  </si>
  <si>
    <t>Agricultural phase emissions</t>
  </si>
  <si>
    <t>Agricultural phase emissions per tonne cane</t>
  </si>
  <si>
    <r>
      <t>kg CO</t>
    </r>
    <r>
      <rPr>
        <vertAlign val="subscript"/>
        <sz val="8"/>
        <rFont val="Trebuchet MS"/>
        <family val="2"/>
      </rPr>
      <t xml:space="preserve">2 </t>
    </r>
    <r>
      <rPr>
        <sz val="8"/>
        <rFont val="Trebuchet MS"/>
        <family val="2"/>
      </rPr>
      <t>eq / t cane</t>
    </r>
  </si>
  <si>
    <t>Equals eec (EU RED)</t>
  </si>
  <si>
    <t>Direct land use change emissions</t>
  </si>
  <si>
    <t>t CO2 eq / ha / year</t>
  </si>
  <si>
    <t>Use P6 Agric to estimate the LUC emissions</t>
  </si>
  <si>
    <t>Total cane land established after Jan 2008</t>
  </si>
  <si>
    <t>Land established after 1 Jan. 2008 as a percentage of total land under cane</t>
  </si>
  <si>
    <t>Net direct land use change emissions per ha</t>
  </si>
  <si>
    <r>
      <t>t CO</t>
    </r>
    <r>
      <rPr>
        <vertAlign val="subscript"/>
        <sz val="8"/>
        <color theme="1"/>
        <rFont val="Trebuchet MS"/>
        <family val="2"/>
      </rPr>
      <t xml:space="preserve">2 </t>
    </r>
    <r>
      <rPr>
        <sz val="8"/>
        <color theme="1"/>
        <rFont val="Trebuchet MS"/>
        <family val="2"/>
      </rPr>
      <t>eq / ha / year</t>
    </r>
  </si>
  <si>
    <t>PAS2050 methodology</t>
  </si>
  <si>
    <r>
      <t>CO</t>
    </r>
    <r>
      <rPr>
        <vertAlign val="subscript"/>
        <sz val="8"/>
        <color theme="1"/>
        <rFont val="Trebuchet MS"/>
        <family val="2"/>
      </rPr>
      <t>2</t>
    </r>
    <r>
      <rPr>
        <sz val="8"/>
        <color theme="1"/>
        <rFont val="Trebuchet MS"/>
        <family val="2"/>
      </rPr>
      <t xml:space="preserve"> from land use change</t>
    </r>
  </si>
  <si>
    <r>
      <t>kg CO</t>
    </r>
    <r>
      <rPr>
        <vertAlign val="subscript"/>
        <sz val="8"/>
        <color theme="1"/>
        <rFont val="Trebuchet MS"/>
        <family val="2"/>
      </rPr>
      <t xml:space="preserve">2 </t>
    </r>
    <r>
      <rPr>
        <sz val="8"/>
        <color theme="1"/>
        <rFont val="Trebuchet MS"/>
        <family val="2"/>
      </rPr>
      <t>eq / t cane</t>
    </r>
  </si>
  <si>
    <t>Company Results 3.2.2</t>
  </si>
  <si>
    <t>Equals eec + el(EU RED)</t>
  </si>
  <si>
    <t>Primary Energy Usage per tonne of sugarcane</t>
  </si>
  <si>
    <t>&lt; 300</t>
  </si>
  <si>
    <t>See Appendix 3 for details.</t>
  </si>
  <si>
    <t>Company data 3.2.7</t>
  </si>
  <si>
    <t>Energy content of Nitrogen fertilizer</t>
  </si>
  <si>
    <t xml:space="preserve"> MJ / kg N</t>
  </si>
  <si>
    <t>Shapouri et al (2004). Macedo (2008) 56.3</t>
  </si>
  <si>
    <t xml:space="preserve">N fertilizer energy </t>
  </si>
  <si>
    <t>Shapouri et al (2004). Macedo et al. (2008) 7.5</t>
  </si>
  <si>
    <r>
      <t>P</t>
    </r>
    <r>
      <rPr>
        <vertAlign val="subscript"/>
        <sz val="8"/>
        <rFont val="Trebuchet MS"/>
        <family val="2"/>
      </rPr>
      <t>2</t>
    </r>
    <r>
      <rPr>
        <sz val="8"/>
        <rFont val="Trebuchet MS"/>
        <family val="2"/>
      </rPr>
      <t>O</t>
    </r>
    <r>
      <rPr>
        <vertAlign val="subscript"/>
        <sz val="8"/>
        <rFont val="Trebuchet MS"/>
        <family val="2"/>
      </rPr>
      <t>5</t>
    </r>
    <r>
      <rPr>
        <sz val="8"/>
        <rFont val="Trebuchet MS"/>
        <family val="2"/>
      </rPr>
      <t xml:space="preserve"> application</t>
    </r>
  </si>
  <si>
    <r>
      <t>P</t>
    </r>
    <r>
      <rPr>
        <vertAlign val="subscript"/>
        <sz val="8"/>
        <rFont val="Trebuchet MS"/>
        <family val="2"/>
      </rPr>
      <t>2</t>
    </r>
    <r>
      <rPr>
        <sz val="8"/>
        <rFont val="Trebuchet MS"/>
        <family val="2"/>
      </rPr>
      <t>O</t>
    </r>
    <r>
      <rPr>
        <vertAlign val="subscript"/>
        <sz val="8"/>
        <rFont val="Trebuchet MS"/>
        <family val="2"/>
      </rPr>
      <t>5</t>
    </r>
    <r>
      <rPr>
        <sz val="8"/>
        <rFont val="Trebuchet MS"/>
        <family val="2"/>
      </rPr>
      <t xml:space="preserve"> fertilizer energy </t>
    </r>
  </si>
  <si>
    <t>Shapouri et al. (2004)</t>
  </si>
  <si>
    <r>
      <t>K</t>
    </r>
    <r>
      <rPr>
        <vertAlign val="subscript"/>
        <sz val="8"/>
        <rFont val="Trebuchet MS"/>
        <family val="2"/>
      </rPr>
      <t>2</t>
    </r>
    <r>
      <rPr>
        <sz val="8"/>
        <rFont val="Trebuchet MS"/>
        <family val="2"/>
      </rPr>
      <t>O application</t>
    </r>
  </si>
  <si>
    <r>
      <t>K</t>
    </r>
    <r>
      <rPr>
        <vertAlign val="subscript"/>
        <sz val="8"/>
        <rFont val="Trebuchet MS"/>
        <family val="2"/>
      </rPr>
      <t>2</t>
    </r>
    <r>
      <rPr>
        <sz val="8"/>
        <rFont val="Trebuchet MS"/>
        <family val="2"/>
      </rPr>
      <t xml:space="preserve">O fertilizer energy </t>
    </r>
  </si>
  <si>
    <r>
      <t>Lime C</t>
    </r>
    <r>
      <rPr>
        <sz val="10"/>
        <rFont val="Trebuchet MS"/>
        <family val="2"/>
      </rPr>
      <t>a</t>
    </r>
    <r>
      <rPr>
        <sz val="8"/>
        <rFont val="Trebuchet MS"/>
        <family val="2"/>
      </rPr>
      <t>CO</t>
    </r>
    <r>
      <rPr>
        <vertAlign val="subscript"/>
        <sz val="8"/>
        <rFont val="Trebuchet MS"/>
        <family val="2"/>
      </rPr>
      <t>3</t>
    </r>
    <r>
      <rPr>
        <sz val="8"/>
        <rFont val="Trebuchet MS"/>
        <family val="2"/>
      </rPr>
      <t xml:space="preserve"> </t>
    </r>
  </si>
  <si>
    <t>From Graboski (2002)</t>
  </si>
  <si>
    <t xml:space="preserve">Lime fertilizer energgy </t>
  </si>
  <si>
    <t>Herbicide, ripener and other chemical</t>
  </si>
  <si>
    <t>Shapouri et al 2004</t>
  </si>
  <si>
    <t>Herbicide, ripener and other chemical application</t>
  </si>
  <si>
    <t>Herbicide energy and other chemical application</t>
  </si>
  <si>
    <t>Pesticide application</t>
  </si>
  <si>
    <t xml:space="preserve">Insecticide energy </t>
  </si>
  <si>
    <t>Transportation of inputs, computed</t>
  </si>
  <si>
    <t xml:space="preserve">If value unknown use default value of 0.64 MJ/kg for fertiliser, pest, seed. Taken from T&amp;D sheet in GREET, given as 548,159 btu/ton.  </t>
  </si>
  <si>
    <t>AgroChemical Transport energy</t>
  </si>
  <si>
    <t>Calculated</t>
  </si>
  <si>
    <t xml:space="preserve"> L </t>
  </si>
  <si>
    <t>LHV Gasoline</t>
  </si>
  <si>
    <t>Energy demand factor for Gasoline</t>
  </si>
  <si>
    <t xml:space="preserve">Gasoline </t>
  </si>
  <si>
    <t>Average for plant and ratoon cane</t>
  </si>
  <si>
    <t>LHV Diesel</t>
  </si>
  <si>
    <t xml:space="preserve">Diesel </t>
  </si>
  <si>
    <t xml:space="preserve">Natural gas </t>
  </si>
  <si>
    <t xml:space="preserve">Electrical Energy used in irrigation </t>
  </si>
  <si>
    <t>Sugarcane Production</t>
  </si>
  <si>
    <t>Company Results 3.2.7</t>
  </si>
  <si>
    <t>Total Net Primary Energy Usage per t cane</t>
  </si>
  <si>
    <t>GHG EMISSIONS SUMMARY</t>
  </si>
  <si>
    <t>Principle 2.</t>
  </si>
  <si>
    <t>RESPECT LABOUR RIGHTS &amp; OCCUPATIONAL SAFETY AND HEALTH STANDARDS</t>
  </si>
  <si>
    <t>To provide a safe and healthy working environment in workplace operations</t>
  </si>
  <si>
    <t>Main health and safety hazards and risks are identified, documented, assessed, communicated to workers, and mitigated.</t>
  </si>
  <si>
    <t>Company data 2.1.1</t>
  </si>
  <si>
    <t xml:space="preserve">Is there a documented assessment of the main health and safety risks? </t>
  </si>
  <si>
    <t>Company Results 2.1.1</t>
  </si>
  <si>
    <t xml:space="preserve"> Main health and safety hazards and risks are identified, documented, assessed, communicated to workers , and mitigated</t>
  </si>
  <si>
    <t>Health and safety risks are managed through implemented and enforced plans</t>
  </si>
  <si>
    <t>Company data 2.1.2</t>
  </si>
  <si>
    <t>Company Results 2.1.2</t>
  </si>
  <si>
    <t>Visual check of access to sufficient drinking water especially under high temperature conditions, and of absence of contamination sources near the drinking water source.</t>
  </si>
  <si>
    <t>Company data 2.1.3</t>
  </si>
  <si>
    <t>Does each worker have access to sufficient sanitation facilities ?</t>
  </si>
  <si>
    <t>Company Results 2.1.3</t>
  </si>
  <si>
    <t>Appropriate personal protective equipment supplied to and used by all workers.</t>
  </si>
  <si>
    <t>Regular maintenance and effective use of personal protective equipment</t>
  </si>
  <si>
    <t>Company data 2.1.4</t>
  </si>
  <si>
    <t xml:space="preserve">Appropriate personal protective equipment </t>
  </si>
  <si>
    <t>Training for health and safety.</t>
  </si>
  <si>
    <t>&gt;90</t>
  </si>
  <si>
    <t>The standard is an average measure, of the % of new employees receiving training, and the % of existing employees getting updated training at least every 5 years (e.g. promotion and participation in health and safety seminars, lectures, campaings, etc). Employees and workers (including migrant, seasonal and other contract labour) to have basic training in health and safety measures related to their operation upon starting work and then with regular updating. Effective compliance can be verified by sampling.</t>
  </si>
  <si>
    <t>Company data 2.1.5</t>
  </si>
  <si>
    <t xml:space="preserve"> Access to first aid and proximity as defined by national legislation or in absence by ILO </t>
  </si>
  <si>
    <t>Company data 2.1.6</t>
  </si>
  <si>
    <t>Company Results 2.1.6</t>
  </si>
  <si>
    <t>Access to first aid and provision for emergency response.</t>
  </si>
  <si>
    <t>&lt;15</t>
  </si>
  <si>
    <t xml:space="preserve">number per million hours worked </t>
  </si>
  <si>
    <t>A lost time accident is defined as an incident involving an employee which causes him to be unable to carry on with his/her normal duties on the next day or next shift due to injury. Include permanent, temporary and sub-contractor workers, but exclude independent contractors</t>
  </si>
  <si>
    <t>Company data 2.1.7</t>
  </si>
  <si>
    <t xml:space="preserve">number </t>
  </si>
  <si>
    <t>Total number of hours worked</t>
  </si>
  <si>
    <t xml:space="preserve">To provide employees (including migrant, seasonal and other contract labour) with benefits and salary sufficient to achieve an adequate standard of living </t>
  </si>
  <si>
    <t xml:space="preserve">All workers to be provided with a contract or equivalent document (e.g. national working card), to be aware of their rights, and to be paid in a form and at a frequency convenient to them.If not specified by the law the contract shall include at least the following elements: hours of work, overtime payment, notice, holidays, wages, and mode of payment.  </t>
  </si>
  <si>
    <t>Company data 2.2.1</t>
  </si>
  <si>
    <t>Company Results 2.2.1</t>
  </si>
  <si>
    <t>Maximum number of hours worked</t>
  </si>
  <si>
    <t>&lt;=60</t>
  </si>
  <si>
    <t>Maximum number as per national law or local sector agreement whichever provides more protection</t>
  </si>
  <si>
    <t>Company data 2.2.2</t>
  </si>
  <si>
    <t>Overtime work is paid at a premium rate</t>
  </si>
  <si>
    <t>Overtime work shall be voluntary. Total overtime hours shall not exceed the level set by national legislation.</t>
  </si>
  <si>
    <t>Company data 2.2.3</t>
  </si>
  <si>
    <t>Ratio of lowest entry level wage including benefits to  minimum wage and benefits required by law.</t>
  </si>
  <si>
    <t>&gt;1</t>
  </si>
  <si>
    <t>$/$</t>
  </si>
  <si>
    <t xml:space="preserve">Mimimum wage as fixed by legal requirement and in the absence of same, ILO C131 can serves as a basis for the definition. </t>
  </si>
  <si>
    <t>Company data 2.2.4</t>
  </si>
  <si>
    <t>Company Results 2.2.4</t>
  </si>
  <si>
    <t>Ratio of lowest entry level wage including benefits to  minimum wage and benefits .</t>
  </si>
  <si>
    <t>Minimum wage is guaranteed to piece rate paid workers</t>
  </si>
  <si>
    <t>Company data 2.2.5</t>
  </si>
  <si>
    <t>Minimum legal wage including benefit</t>
  </si>
  <si>
    <t>Movement to close living wage gap</t>
  </si>
  <si>
    <t>• 5% first certification period 
• 10% each successive certification period.10%</t>
  </si>
  <si>
    <t>Company data 2.2.6</t>
  </si>
  <si>
    <t>Lowest entry level wage including benefits</t>
  </si>
  <si>
    <t xml:space="preserve">gap of initial certification year </t>
  </si>
  <si>
    <t xml:space="preserve">gap of current certification year </t>
  </si>
  <si>
    <t xml:space="preserve">The increase of gap movement </t>
  </si>
  <si>
    <t xml:space="preserve">The status of 3-year certification cycle </t>
  </si>
  <si>
    <t xml:space="preserve">cycle </t>
  </si>
  <si>
    <t xml:space="preserve">To respect workers right to favourable working conditions </t>
  </si>
  <si>
    <t>Company data 2.3.1</t>
  </si>
  <si>
    <t>Company data 2.3.2</t>
  </si>
  <si>
    <t>Debt bondage, trafficking, and forced/compulsory labour are absent</t>
  </si>
  <si>
    <t xml:space="preserve">Forced or compulsory labour as defined per ILO Convention 29 and ILO 105. The major forms of forced or compulsory labour are defined in Appendix 1. </t>
  </si>
  <si>
    <t>Company data 2.3.3</t>
  </si>
  <si>
    <t>Absence of child labour</t>
  </si>
  <si>
    <t>&gt; 18</t>
  </si>
  <si>
    <t>Years</t>
  </si>
  <si>
    <t>Company data 2.3.4</t>
  </si>
  <si>
    <t>Company data 2.3.5</t>
  </si>
  <si>
    <t>Working hours lost as percent of total hours worked</t>
  </si>
  <si>
    <t>&lt; 5 %</t>
  </si>
  <si>
    <t>This represents working hours lost through absence (all un planned causes - strikes, sickness, absenteeism etc. but not holiday, legal time off such as maternity leave, or training)</t>
  </si>
  <si>
    <t>Company data 2.3.6</t>
  </si>
  <si>
    <t>Company data 2.4.1</t>
  </si>
  <si>
    <t>Company data 2.4.2</t>
  </si>
  <si>
    <t xml:space="preserve">Company Results 2.4.3 </t>
  </si>
  <si>
    <t>Main health and safety risks are documented, assessed, communicated to workers, and mitigated</t>
  </si>
  <si>
    <t>&lt;30</t>
  </si>
  <si>
    <t>Principle 1.</t>
  </si>
  <si>
    <t>ASSESS AND MANAGE ENVIRONMENTAL, SOCIAL &amp; HUMAN RIGHTS RISKS</t>
  </si>
  <si>
    <t>Mapping of Internal, External, and Vulnerable Stakeholders is conducted</t>
  </si>
  <si>
    <t>Company data 1.2.1</t>
  </si>
  <si>
    <t>Company Results 1.2.1</t>
  </si>
  <si>
    <t>Company Results 1.2.2</t>
  </si>
  <si>
    <t>Company Results 1.3.1</t>
  </si>
  <si>
    <t>Standard Operation Procedures are developed</t>
  </si>
  <si>
    <t>Company data 1.3.2</t>
  </si>
  <si>
    <t>Company Results 1.3.2</t>
  </si>
  <si>
    <t>Systems in place to demonstrate compliance with applicable laws, commitments, rights &amp; other requirements</t>
  </si>
  <si>
    <t>Company data 1.3.3</t>
  </si>
  <si>
    <t>Company Results 1.3.3</t>
  </si>
  <si>
    <t xml:space="preserve"> Use of land and resources does not diminish rights of other users without their FPIC</t>
  </si>
  <si>
    <t>Company data 1.3.4</t>
  </si>
  <si>
    <t>Company Results 1.3.4</t>
  </si>
  <si>
    <t>Company data 1.3.5</t>
  </si>
  <si>
    <t>Company Results 1.3.5</t>
  </si>
  <si>
    <t>The implementation of the Sustainability system is systematical and risk based .</t>
  </si>
  <si>
    <t>Cane supply contracts contain sustainability requirements</t>
  </si>
  <si>
    <t>Company data 1.3.6</t>
  </si>
  <si>
    <t>Company Results 1.3.6</t>
  </si>
  <si>
    <t>Company data 1.4.1</t>
  </si>
  <si>
    <t>Land &amp; water claims that are legitimately contested by other users</t>
  </si>
  <si>
    <t>ha &amp; m3</t>
  </si>
  <si>
    <t>Company data 1.4.2</t>
  </si>
  <si>
    <t>Company Results 1.4.2</t>
  </si>
  <si>
    <t>Grievance mechanism for communities are in place</t>
  </si>
  <si>
    <t>Company data 1.4.3</t>
  </si>
  <si>
    <t>Company Results 1.4.3</t>
  </si>
  <si>
    <t>Company Results 1.1.1</t>
  </si>
  <si>
    <t>Management Plans are developed and implemented</t>
  </si>
  <si>
    <t>Company data 1.3.1</t>
  </si>
  <si>
    <t xml:space="preserve"> Systems in place to demonstrate compliance with applicable laws, commitments, rights &amp; other requirements</t>
  </si>
  <si>
    <t>Scope 1</t>
  </si>
  <si>
    <t>Scope 2</t>
  </si>
  <si>
    <t xml:space="preserve">Agricultural phase </t>
  </si>
  <si>
    <t>Scope 3</t>
  </si>
  <si>
    <t xml:space="preserve">Lime emissions </t>
  </si>
  <si>
    <t xml:space="preserve">Mill phase </t>
  </si>
  <si>
    <t>Total carbon emissions in scope 2</t>
  </si>
  <si>
    <r>
      <t>kg CO</t>
    </r>
    <r>
      <rPr>
        <b/>
        <vertAlign val="subscript"/>
        <sz val="10"/>
        <rFont val="Trebuchet MS"/>
        <family val="2"/>
      </rPr>
      <t>2</t>
    </r>
    <r>
      <rPr>
        <b/>
        <sz val="8"/>
        <rFont val="Trebuchet MS"/>
        <family val="2"/>
      </rPr>
      <t xml:space="preserve"> eq</t>
    </r>
  </si>
  <si>
    <t>Total GHG emissions in scope 2</t>
  </si>
  <si>
    <r>
      <t>kg CO</t>
    </r>
    <r>
      <rPr>
        <b/>
        <vertAlign val="subscript"/>
        <sz val="10"/>
        <rFont val="Trebuchet MS"/>
        <family val="2"/>
      </rPr>
      <t>2</t>
    </r>
    <r>
      <rPr>
        <b/>
        <sz val="8"/>
        <rFont val="Trebuchet MS"/>
        <family val="2"/>
      </rPr>
      <t xml:space="preserve"> eq / t cane</t>
    </r>
  </si>
  <si>
    <t>Total agricultual phase emissions in Scope 1</t>
  </si>
  <si>
    <t>Net GHG emissions per tonne of cane in Scope 1</t>
  </si>
  <si>
    <t xml:space="preserve">Nitrogen fertilizer production emissions  </t>
  </si>
  <si>
    <t>Phosphorus fertilizer production emissions</t>
  </si>
  <si>
    <t>Potassium fertilizer productionemissions</t>
  </si>
  <si>
    <t>Lime production</t>
  </si>
  <si>
    <t>Emissions from imported biomass</t>
  </si>
  <si>
    <t>Total carbon emissions in scope 1</t>
  </si>
  <si>
    <t xml:space="preserve">Land use change </t>
  </si>
  <si>
    <t>Total mill phase emissions in Scope 1</t>
  </si>
  <si>
    <t>Total carbon emissions in scope 3</t>
  </si>
  <si>
    <r>
      <t>kg CO</t>
    </r>
    <r>
      <rPr>
        <b/>
        <vertAlign val="subscript"/>
        <sz val="8"/>
        <color theme="1"/>
        <rFont val="Trebuchet MS"/>
        <family val="2"/>
      </rPr>
      <t xml:space="preserve">2 </t>
    </r>
    <r>
      <rPr>
        <b/>
        <sz val="8"/>
        <color theme="1"/>
        <rFont val="Trebuchet MS"/>
        <family val="2"/>
      </rPr>
      <t>eq</t>
    </r>
  </si>
  <si>
    <t>Total GHG emissions in scope 3</t>
  </si>
  <si>
    <t>Total agricultual phase emissions incluing transportation in Scope 1</t>
  </si>
  <si>
    <t>Total GHG emissions in scope 1</t>
  </si>
  <si>
    <t>Calculation based on Scope 1, 2, 3</t>
  </si>
  <si>
    <t xml:space="preserve">Original Bonsucro calculator </t>
  </si>
  <si>
    <t>scope 1</t>
  </si>
  <si>
    <t xml:space="preserve">Original </t>
  </si>
  <si>
    <t>scope 2</t>
  </si>
  <si>
    <t xml:space="preserve">AGRICULTUAL PHASE </t>
  </si>
  <si>
    <t>kg CO2 eq</t>
  </si>
  <si>
    <t>scope 3</t>
  </si>
  <si>
    <t xml:space="preserve">TRANSPORTATION PHASE </t>
  </si>
  <si>
    <t xml:space="preserve">MILL PHASE </t>
  </si>
  <si>
    <t xml:space="preserve">difference </t>
  </si>
  <si>
    <t>Total</t>
  </si>
  <si>
    <t xml:space="preserve">direct land use change </t>
  </si>
  <si>
    <t>total</t>
  </si>
  <si>
    <t>mill reporting</t>
  </si>
  <si>
    <t>Section 6.</t>
  </si>
  <si>
    <t xml:space="preserve">Additional mandatory requirement for biofuels under the EU Renewable Energy Directive 
(2009/28/EC) and revised Fuel Quality Directive (2009/30/EC) </t>
  </si>
  <si>
    <t>Criterion 6.1</t>
  </si>
  <si>
    <t>To monitor global warming emissions with a view to minimizing climate change impacts.</t>
  </si>
  <si>
    <t xml:space="preserve">Global warming burden per unit of energy </t>
  </si>
  <si>
    <t xml:space="preserve">To calculate the greenhouse gas emissions from the production and use of sugarcane ethanol, the following disaggregated default values provided in point D of the annex V of the EU Directive must be used. 
The default value is the sum of the default value for cultivation: 14 g CO2eq/MJ + the default value for processing (including excess electricity): 1 g CO2eq/MJ + the default value for transport and distribution: 9 g CO2eq/MJ. 
The operator may use this default value of 24 gCO2eq/MJ fuel if the annualized emissions associated with carbon stock changes caused by land use change after January 2008 are zero.  
If carbon stock changes due to land use change after January 2008 are not zero, greenhouse gas emissions resulting from changes in land carbon stocks must be added to the default values from the production and use of sugarcane ethanol. Emissions from carbon stocks changes must be calculated in accordance with Appendix 5 of this standard and Appendix 4 of the Audit guidance. </t>
  </si>
  <si>
    <t>Company data 6.1.1</t>
  </si>
  <si>
    <t>Data</t>
  </si>
  <si>
    <t>All area harvested (within unit and outside unit) - used to calculate factor P</t>
  </si>
  <si>
    <t>All production (within unit and outside unit) - used to calculate factor P</t>
  </si>
  <si>
    <t>HV ethanol</t>
  </si>
  <si>
    <t>P3 Mill C186</t>
  </si>
  <si>
    <t>Productivity factor</t>
  </si>
  <si>
    <t>MJ/ha</t>
  </si>
  <si>
    <t>Including proportion of total land converted</t>
  </si>
  <si>
    <t>P3Mill181</t>
  </si>
  <si>
    <t>Land use change 1</t>
  </si>
  <si>
    <t>Land Use Change 2</t>
  </si>
  <si>
    <t>Land use change 3</t>
  </si>
  <si>
    <t>Land use change 4</t>
  </si>
  <si>
    <t>Previous land use</t>
  </si>
  <si>
    <t>rubber</t>
  </si>
  <si>
    <t>test</t>
  </si>
  <si>
    <t>forest</t>
  </si>
  <si>
    <t xml:space="preserve">soy </t>
  </si>
  <si>
    <t>Name the crop being converted</t>
  </si>
  <si>
    <r>
      <t>SOC</t>
    </r>
    <r>
      <rPr>
        <vertAlign val="subscript"/>
        <sz val="8"/>
        <color theme="1"/>
        <rFont val="Trebuchet MS"/>
        <family val="2"/>
      </rPr>
      <t>st</t>
    </r>
    <r>
      <rPr>
        <sz val="8"/>
        <color theme="1"/>
        <rFont val="Trebuchet MS"/>
        <family val="2"/>
      </rPr>
      <t xml:space="preserve"> previous use of land</t>
    </r>
  </si>
  <si>
    <t>t carbon / ha</t>
  </si>
  <si>
    <t>Appendix 6  of the Bonsucro Guidance for the Production Standard</t>
  </si>
  <si>
    <r>
      <t>F</t>
    </r>
    <r>
      <rPr>
        <vertAlign val="subscript"/>
        <sz val="8"/>
        <color theme="1"/>
        <rFont val="Trebuchet MS"/>
        <family val="2"/>
      </rPr>
      <t>LU previous land</t>
    </r>
  </si>
  <si>
    <r>
      <t>F</t>
    </r>
    <r>
      <rPr>
        <vertAlign val="subscript"/>
        <sz val="8"/>
        <color theme="1"/>
        <rFont val="Trebuchet MS"/>
        <family val="2"/>
      </rPr>
      <t>MG previous land</t>
    </r>
  </si>
  <si>
    <r>
      <t>F</t>
    </r>
    <r>
      <rPr>
        <vertAlign val="subscript"/>
        <sz val="8"/>
        <color theme="1"/>
        <rFont val="Trebuchet MS"/>
        <family val="2"/>
      </rPr>
      <t>I previous land</t>
    </r>
  </si>
  <si>
    <t>SOC previous use of land</t>
  </si>
  <si>
    <r>
      <t>C</t>
    </r>
    <r>
      <rPr>
        <vertAlign val="subscript"/>
        <sz val="8"/>
        <color theme="1"/>
        <rFont val="Trebuchet MS"/>
        <family val="2"/>
      </rPr>
      <t>veg</t>
    </r>
    <r>
      <rPr>
        <sz val="8"/>
        <color theme="1"/>
        <rFont val="Trebuchet MS"/>
        <family val="2"/>
      </rPr>
      <t xml:space="preserve"> previous use of land</t>
    </r>
  </si>
  <si>
    <r>
      <t>CS</t>
    </r>
    <r>
      <rPr>
        <vertAlign val="subscript"/>
        <sz val="8"/>
        <color theme="1"/>
        <rFont val="Trebuchet MS"/>
        <family val="2"/>
      </rPr>
      <t>R</t>
    </r>
  </si>
  <si>
    <r>
      <t>SOC</t>
    </r>
    <r>
      <rPr>
        <vertAlign val="subscript"/>
        <sz val="8"/>
        <color theme="1"/>
        <rFont val="Trebuchet MS"/>
        <family val="2"/>
      </rPr>
      <t>st</t>
    </r>
    <r>
      <rPr>
        <sz val="8"/>
        <color theme="1"/>
        <rFont val="Trebuchet MS"/>
        <family val="2"/>
      </rPr>
      <t xml:space="preserve"> sugarcane</t>
    </r>
  </si>
  <si>
    <r>
      <t>F</t>
    </r>
    <r>
      <rPr>
        <vertAlign val="subscript"/>
        <sz val="8"/>
        <color theme="1"/>
        <rFont val="Trebuchet MS"/>
        <family val="2"/>
      </rPr>
      <t>LU sugarcane</t>
    </r>
  </si>
  <si>
    <r>
      <t>F</t>
    </r>
    <r>
      <rPr>
        <vertAlign val="subscript"/>
        <sz val="8"/>
        <color theme="1"/>
        <rFont val="Trebuchet MS"/>
        <family val="2"/>
      </rPr>
      <t>MG sugarcane</t>
    </r>
  </si>
  <si>
    <r>
      <t>F</t>
    </r>
    <r>
      <rPr>
        <vertAlign val="subscript"/>
        <sz val="8"/>
        <color theme="1"/>
        <rFont val="Trebuchet MS"/>
        <family val="2"/>
      </rPr>
      <t>I sugarcane</t>
    </r>
  </si>
  <si>
    <t>SOC sugarcane</t>
  </si>
  <si>
    <r>
      <t>C</t>
    </r>
    <r>
      <rPr>
        <vertAlign val="subscript"/>
        <sz val="8"/>
        <color theme="1"/>
        <rFont val="Trebuchet MS"/>
        <family val="2"/>
      </rPr>
      <t xml:space="preserve">veg </t>
    </r>
    <r>
      <rPr>
        <sz val="8"/>
        <color theme="1"/>
        <rFont val="Trebuchet MS"/>
        <family val="2"/>
      </rPr>
      <t>sugarcane</t>
    </r>
  </si>
  <si>
    <r>
      <t>CS</t>
    </r>
    <r>
      <rPr>
        <vertAlign val="subscript"/>
        <sz val="8"/>
        <color theme="1"/>
        <rFont val="Trebuchet MS"/>
        <family val="2"/>
      </rPr>
      <t>A</t>
    </r>
  </si>
  <si>
    <r>
      <t>e</t>
    </r>
    <r>
      <rPr>
        <vertAlign val="subscript"/>
        <sz val="8"/>
        <color theme="1"/>
        <rFont val="Trebuchet MS"/>
        <family val="2"/>
      </rPr>
      <t>l</t>
    </r>
  </si>
  <si>
    <r>
      <t>g CO</t>
    </r>
    <r>
      <rPr>
        <vertAlign val="subscript"/>
        <sz val="8"/>
        <color theme="1"/>
        <rFont val="Trebuchet MS"/>
        <family val="2"/>
      </rPr>
      <t>2</t>
    </r>
    <r>
      <rPr>
        <sz val="8"/>
        <color theme="1"/>
        <rFont val="Trebuchet MS"/>
        <family val="2"/>
      </rPr>
      <t>/ha/year</t>
    </r>
  </si>
  <si>
    <t>emission for land use change per year for 20 years - refer to Appendix 6 for the formula</t>
  </si>
  <si>
    <t>el gobal bonsucro</t>
  </si>
  <si>
    <t xml:space="preserve">Annualised land use emissions </t>
  </si>
  <si>
    <t>Per year for 20 years - allocated to the ethanol production</t>
  </si>
  <si>
    <r>
      <t>e</t>
    </r>
    <r>
      <rPr>
        <vertAlign val="subscript"/>
        <sz val="8"/>
        <color theme="1"/>
        <rFont val="Trebuchet MS"/>
        <family val="2"/>
      </rPr>
      <t xml:space="preserve">ec </t>
    </r>
    <r>
      <rPr>
        <sz val="8"/>
        <color theme="1"/>
        <rFont val="Trebuchet MS"/>
        <family val="2"/>
      </rPr>
      <t>+</t>
    </r>
    <r>
      <rPr>
        <vertAlign val="subscript"/>
        <sz val="8"/>
        <color theme="1"/>
        <rFont val="Trebuchet MS"/>
        <family val="2"/>
      </rPr>
      <t xml:space="preserve"> </t>
    </r>
    <r>
      <rPr>
        <sz val="8"/>
        <color theme="1"/>
        <rFont val="Trebuchet MS"/>
        <family val="2"/>
      </rPr>
      <t>e</t>
    </r>
    <r>
      <rPr>
        <vertAlign val="subscript"/>
        <sz val="8"/>
        <color theme="1"/>
        <rFont val="Trebuchet MS"/>
        <family val="2"/>
      </rPr>
      <t>l</t>
    </r>
  </si>
  <si>
    <r>
      <t>g CO</t>
    </r>
    <r>
      <rPr>
        <vertAlign val="subscript"/>
        <sz val="8"/>
        <color theme="1"/>
        <rFont val="Trebuchet MS"/>
        <family val="2"/>
      </rPr>
      <t>2</t>
    </r>
    <r>
      <rPr>
        <sz val="8"/>
        <color theme="1"/>
        <rFont val="Trebuchet MS"/>
        <family val="2"/>
      </rPr>
      <t>/MJ fuel/year</t>
    </r>
  </si>
  <si>
    <r>
      <t>14 gCO</t>
    </r>
    <r>
      <rPr>
        <vertAlign val="subscript"/>
        <sz val="8"/>
        <color theme="1"/>
        <rFont val="Trebuchet MS"/>
        <family val="2"/>
      </rPr>
      <t>2</t>
    </r>
    <r>
      <rPr>
        <sz val="8"/>
        <color theme="1"/>
        <rFont val="Trebuchet MS"/>
        <family val="2"/>
      </rPr>
      <t>/MJ added as default value for biofuel production</t>
    </r>
  </si>
  <si>
    <t>If NOT COMPLIANT, the land must be excluded</t>
  </si>
  <si>
    <t xml:space="preserve">Value shown only with compliant condition </t>
  </si>
  <si>
    <t>Company Results 6.1.1</t>
  </si>
  <si>
    <r>
      <t>GHG emissions due to cultivation (e</t>
    </r>
    <r>
      <rPr>
        <vertAlign val="subscript"/>
        <sz val="8"/>
        <color theme="1"/>
        <rFont val="Trebuchet MS"/>
        <family val="2"/>
      </rPr>
      <t>ec</t>
    </r>
    <r>
      <rPr>
        <sz val="8"/>
        <color theme="1"/>
        <rFont val="Trebuchet MS"/>
        <family val="2"/>
      </rPr>
      <t xml:space="preserve">) </t>
    </r>
  </si>
  <si>
    <t>Highest emissions of COMPLIANT biofuel are taken into consideration</t>
  </si>
  <si>
    <t xml:space="preserve">Bonsucro Global land use change emissions </t>
  </si>
  <si>
    <t>Annualised land use emissions-gobal bonsucro(el)</t>
  </si>
  <si>
    <t xml:space="preserve">The result is provided to Bonscuro global land use change emissions  </t>
  </si>
  <si>
    <t>GHG emissions BOnsucro global</t>
  </si>
  <si>
    <t>Criterion 6.2</t>
  </si>
  <si>
    <t>To protect land with high biodiversity value, land with high carbon stock and peatlands.</t>
  </si>
  <si>
    <t xml:space="preserve">Land with high biodiversity value is land that had one of the following statuses in or after January 2008, whether or not the land continues to have that status: (a) primary forest and other primary wooded land, namely forest and other wooded land of native species, where there is no clearly visible indication of human activity and the ecological processes are not significantly disturbed; (b) areas designated by law or by the relevant competent authority for nature protection purposes; or for the protection of rare, threatened or endangered ecosystems or species recognised by international agreements or included in lists drawn up by intergovernmental organisations or the International Union for the Conservation of Nature, subject to their recognition by the European Commission; unless evidence is provided that the production of that raw material did not interfere with those nature protection purposes; (c) highly biodiverse grassland that is: (i) natural grassland that would remain grassland in the absence of human intervention and which maintains the natural species composition and ecological characteristics and processes; or (ii) non-natural grassland that would cease to be grassland in the absence of human intervention and which is species-rich and not degraded, unless evidence is provided that the harvesting of the raw material is necessary to preserve its grassland status; (d) new nature protection areas derived from a published European Commission decision. </t>
  </si>
  <si>
    <t xml:space="preserve">Land with high carbon stock: Land that had one of the following statuses in January 2008 and no longer has that status: (a) wetlands, namely land that is covered with or saturated by water permanently or for a significant part of the year; (b) continuously forested areas, namely land spanning more than one hectare with trees higher than five metres and a canopy cover of more than 30 %, or trees able to reach those thresholds in situ (It does not include land that is predominantly under urban or agricultural use, understood as tree stands in agricultural systems, such as fruit tree plantations and agroforestry systems when crops are grown under tree cover); (c) land spanning more than one hectare with trees higher than five metres and a canopy cover of between 10 % and 30 %, or trees able to reach those thresholds in situ, unless evidence is provided that the carbon stock of the area before and after conversion is such that when GHG emissions savings is calculated, it complies with the minimum threshold established in criterion 6.1 of the Bonsucro standard. </t>
  </si>
  <si>
    <t>Peatland. Crops for biofuels cannot be grown on land that was peatland in January 2008 unless the soil was completely drained by January 2008 or there has been no draining of the soil since January 2008.</t>
  </si>
  <si>
    <t>Company data 6. 2</t>
  </si>
  <si>
    <t>Company Results 6.2</t>
  </si>
  <si>
    <t xml:space="preserve"> </t>
  </si>
  <si>
    <t xml:space="preserve">Additional mandatory requirement for biofuels 
under the EU Renewable Energy Directive (2009/28/EC) 
and revised Fuel Quality Directive (2009/30/EC) </t>
  </si>
  <si>
    <r>
      <t>GHG emissions due to processing (e</t>
    </r>
    <r>
      <rPr>
        <vertAlign val="subscript"/>
        <sz val="8"/>
        <color theme="1"/>
        <rFont val="Trebuchet MS"/>
        <family val="2"/>
      </rPr>
      <t>p</t>
    </r>
    <r>
      <rPr>
        <sz val="8"/>
        <color theme="1"/>
        <rFont val="Trebuchet MS"/>
        <family val="2"/>
      </rPr>
      <t>) and transport and distribution (e</t>
    </r>
    <r>
      <rPr>
        <vertAlign val="subscript"/>
        <sz val="8"/>
        <color theme="1"/>
        <rFont val="Trebuchet MS"/>
        <family val="2"/>
      </rPr>
      <t>td</t>
    </r>
    <r>
      <rPr>
        <sz val="8"/>
        <color theme="1"/>
        <rFont val="Trebuchet MS"/>
        <family val="2"/>
      </rPr>
      <t>)</t>
    </r>
  </si>
  <si>
    <t>Conversion factors</t>
  </si>
  <si>
    <t>Energy</t>
  </si>
  <si>
    <t>MJ/MJ</t>
  </si>
  <si>
    <t>Energy demand Factor for Diesel</t>
  </si>
  <si>
    <t>MJ/MJ fuel</t>
  </si>
  <si>
    <t>LHV gasoline</t>
  </si>
  <si>
    <t>Energy demand in electricity</t>
  </si>
  <si>
    <t>MJ / kWh</t>
  </si>
  <si>
    <t>Primary Energy in Process water</t>
  </si>
  <si>
    <t>MJ/kg</t>
  </si>
  <si>
    <t>Energy content of Lubricants per tonne of cane</t>
  </si>
  <si>
    <t>MJ/tc</t>
  </si>
  <si>
    <t>Wang et al. (2008)</t>
  </si>
  <si>
    <t xml:space="preserve">Energy content of Phosphorus </t>
  </si>
  <si>
    <t xml:space="preserve">Energy content of Potassium </t>
  </si>
  <si>
    <r>
      <t>Energy content of Lime C</t>
    </r>
    <r>
      <rPr>
        <sz val="10"/>
        <rFont val="Trebuchet MS"/>
        <family val="2"/>
      </rPr>
      <t>a</t>
    </r>
    <r>
      <rPr>
        <sz val="8"/>
        <rFont val="Trebuchet MS"/>
        <family val="2"/>
      </rPr>
      <t>CO</t>
    </r>
    <r>
      <rPr>
        <vertAlign val="subscript"/>
        <sz val="8"/>
        <rFont val="Trebuchet MS"/>
        <family val="2"/>
      </rPr>
      <t>3</t>
    </r>
    <r>
      <rPr>
        <sz val="8"/>
        <rFont val="Trebuchet MS"/>
        <family val="2"/>
      </rPr>
      <t xml:space="preserve"> </t>
    </r>
  </si>
  <si>
    <t>Energy content of Herbicide and fungicide</t>
  </si>
  <si>
    <t xml:space="preserve">Energy content of Insecticide </t>
  </si>
  <si>
    <t>Energy content for transportation of input</t>
  </si>
  <si>
    <t>Sulfur dioxide factors</t>
  </si>
  <si>
    <r>
      <t>W</t>
    </r>
    <r>
      <rPr>
        <vertAlign val="subscript"/>
        <sz val="8"/>
        <color theme="1"/>
        <rFont val="Trebuchet MS"/>
        <family val="2"/>
      </rPr>
      <t>S02</t>
    </r>
    <r>
      <rPr>
        <sz val="8"/>
        <color theme="1"/>
        <rFont val="Trebuchet MS"/>
        <family val="2"/>
      </rPr>
      <t xml:space="preserve"> emitted from Sulfitation</t>
    </r>
  </si>
  <si>
    <t>g/Tc</t>
  </si>
  <si>
    <r>
      <t>Sulfitation of juice emits 0.011 g SO</t>
    </r>
    <r>
      <rPr>
        <vertAlign val="subscript"/>
        <sz val="8"/>
        <color theme="1"/>
        <rFont val="Trebuchet MS"/>
        <family val="2"/>
      </rPr>
      <t xml:space="preserve">2 </t>
    </r>
    <r>
      <rPr>
        <sz val="8"/>
        <color theme="1"/>
        <rFont val="Trebuchet MS"/>
        <family val="2"/>
      </rPr>
      <t>/ tc</t>
    </r>
  </si>
  <si>
    <r>
      <t>W</t>
    </r>
    <r>
      <rPr>
        <vertAlign val="subscript"/>
        <sz val="8"/>
        <color theme="1"/>
        <rFont val="Trebuchet MS"/>
        <family val="2"/>
      </rPr>
      <t>S02</t>
    </r>
    <r>
      <rPr>
        <sz val="8"/>
        <color theme="1"/>
        <rFont val="Trebuchet MS"/>
        <family val="2"/>
      </rPr>
      <t xml:space="preserve"> emitted from Bagasse burnt in boilers</t>
    </r>
  </si>
  <si>
    <t>kg/kg bagasse burnt</t>
  </si>
  <si>
    <r>
      <rPr>
        <sz val="8"/>
        <rFont val="Trebuchet MS"/>
        <family val="2"/>
      </rPr>
      <t>Sulfur content</t>
    </r>
    <r>
      <rPr>
        <sz val="8"/>
        <color rgb="FFFF0000"/>
        <rFont val="Trebuchet MS"/>
        <family val="2"/>
      </rPr>
      <t xml:space="preserve"> </t>
    </r>
    <r>
      <rPr>
        <sz val="8"/>
        <color theme="1"/>
        <rFont val="Trebuchet MS"/>
        <family val="2"/>
      </rPr>
      <t>of moist bagasse is 0.02 g / 100 g bagasse (CSE p 623). Therefore SO</t>
    </r>
    <r>
      <rPr>
        <vertAlign val="subscript"/>
        <sz val="8"/>
        <color theme="1"/>
        <rFont val="Trebuchet MS"/>
        <family val="2"/>
      </rPr>
      <t>2</t>
    </r>
    <r>
      <rPr>
        <sz val="8"/>
        <color theme="1"/>
        <rFont val="Trebuchet MS"/>
        <family val="2"/>
      </rPr>
      <t xml:space="preserve"> produced = 0.0004 x mass of bagasse burnt, or 0.4 g SO</t>
    </r>
    <r>
      <rPr>
        <vertAlign val="subscript"/>
        <sz val="8"/>
        <color theme="1"/>
        <rFont val="Trebuchet MS"/>
        <family val="2"/>
      </rPr>
      <t xml:space="preserve">2 </t>
    </r>
    <r>
      <rPr>
        <sz val="8"/>
        <color theme="1"/>
        <rFont val="Trebuchet MS"/>
        <family val="2"/>
      </rPr>
      <t>/ kg cane.</t>
    </r>
  </si>
  <si>
    <r>
      <t>W</t>
    </r>
    <r>
      <rPr>
        <vertAlign val="subscript"/>
        <sz val="8"/>
        <color theme="1"/>
        <rFont val="Trebuchet MS"/>
        <family val="2"/>
      </rPr>
      <t>NO2</t>
    </r>
    <r>
      <rPr>
        <sz val="8"/>
        <color theme="1"/>
        <rFont val="Trebuchet MS"/>
        <family val="2"/>
      </rPr>
      <t xml:space="preserve"> emitted from Bagasse burnt in boilers</t>
    </r>
  </si>
  <si>
    <t>kg/kg cane</t>
  </si>
  <si>
    <r>
      <t>NO</t>
    </r>
    <r>
      <rPr>
        <vertAlign val="subscript"/>
        <sz val="8"/>
        <rFont val="Trebuchet MS"/>
        <family val="2"/>
      </rPr>
      <t>x</t>
    </r>
    <r>
      <rPr>
        <sz val="8"/>
        <rFont val="Trebuchet MS"/>
        <family val="2"/>
      </rPr>
      <t xml:space="preserve"> content of moist bagasse is 0.04 g/100 g bagasse (CSE p 620). Therefore NO</t>
    </r>
    <r>
      <rPr>
        <vertAlign val="subscript"/>
        <sz val="8"/>
        <rFont val="Trebuchet MS"/>
        <family val="2"/>
      </rPr>
      <t xml:space="preserve">2 </t>
    </r>
    <r>
      <rPr>
        <sz val="8"/>
        <rFont val="Trebuchet MS"/>
        <family val="2"/>
      </rPr>
      <t>produced = 0.0009 x mass of bagasse burnt, or 0.4 g NO</t>
    </r>
    <r>
      <rPr>
        <vertAlign val="subscript"/>
        <sz val="8"/>
        <rFont val="Trebuchet MS"/>
        <family val="2"/>
      </rPr>
      <t>2</t>
    </r>
    <r>
      <rPr>
        <sz val="8"/>
        <rFont val="Trebuchet MS"/>
        <family val="2"/>
      </rPr>
      <t>/kg cane.</t>
    </r>
  </si>
  <si>
    <r>
      <t>W</t>
    </r>
    <r>
      <rPr>
        <vertAlign val="subscript"/>
        <sz val="8"/>
        <color theme="1"/>
        <rFont val="Trebuchet MS"/>
        <family val="2"/>
      </rPr>
      <t>NO2</t>
    </r>
    <r>
      <rPr>
        <sz val="8"/>
        <color theme="1"/>
        <rFont val="Trebuchet MS"/>
        <family val="2"/>
      </rPr>
      <t xml:space="preserve"> emitted from coal</t>
    </r>
  </si>
  <si>
    <t>g/MJ</t>
  </si>
  <si>
    <t>Emission factor of 1.4 g/MJ of coal (IPCC, 1996)</t>
  </si>
  <si>
    <t>Potency factor of SO2 for atmospheric acidification</t>
  </si>
  <si>
    <t>Potency factor of NO2 for atmospheric acidification</t>
  </si>
  <si>
    <t>GHG emissions</t>
  </si>
  <si>
    <t xml:space="preserve">GHG emissions from Nitrogen production </t>
  </si>
  <si>
    <t xml:space="preserve">GHG emissions from Phosphorus </t>
  </si>
  <si>
    <t xml:space="preserve">GHG emissions from Potassium </t>
  </si>
  <si>
    <t xml:space="preserve">GHG emissions from Lime production and transportation </t>
  </si>
  <si>
    <r>
      <t>GHG emissions from Lime (CaCO</t>
    </r>
    <r>
      <rPr>
        <vertAlign val="subscript"/>
        <sz val="8"/>
        <rFont val="Trebuchet MS"/>
        <family val="2"/>
      </rPr>
      <t>3</t>
    </r>
    <r>
      <rPr>
        <sz val="8"/>
        <rFont val="Trebuchet MS"/>
        <family val="2"/>
      </rPr>
      <t xml:space="preserve">) application </t>
    </r>
  </si>
  <si>
    <t xml:space="preserve">GHG emissions from Herbicide (average mix for biomass) </t>
  </si>
  <si>
    <t xml:space="preserve">GHG emissions from Pesticide (average mix for biomass) </t>
  </si>
  <si>
    <t xml:space="preserve">GHG emissions from Ripener (average mix for biomass) </t>
  </si>
  <si>
    <t xml:space="preserve">GHG emissions from Other crop chemicals (average mix for biomass) </t>
  </si>
  <si>
    <t>GHG emissions from Tranport emissions per kg transported</t>
  </si>
  <si>
    <t>Various factors</t>
  </si>
  <si>
    <r>
      <t>CH</t>
    </r>
    <r>
      <rPr>
        <vertAlign val="subscript"/>
        <sz val="8"/>
        <rFont val="Trebuchet MS"/>
        <family val="2"/>
      </rPr>
      <t>4</t>
    </r>
    <r>
      <rPr>
        <sz val="8"/>
        <rFont val="Trebuchet MS"/>
        <family val="2"/>
      </rPr>
      <t xml:space="preserve"> emissions from effluents expressed in BOD</t>
    </r>
  </si>
  <si>
    <t>kg/kg</t>
  </si>
  <si>
    <t>IPCC guideline</t>
  </si>
  <si>
    <t>N content of residue left in fields</t>
  </si>
  <si>
    <r>
      <t>g/m</t>
    </r>
    <r>
      <rPr>
        <vertAlign val="superscript"/>
        <sz val="8"/>
        <rFont val="Trebuchet MS"/>
        <family val="2"/>
      </rPr>
      <t>3</t>
    </r>
  </si>
  <si>
    <t>Maraseni et al. (2011)</t>
  </si>
  <si>
    <t>Default value</t>
  </si>
  <si>
    <t>GHG emission agriculture no LUC</t>
  </si>
  <si>
    <t>kg CO2 eq / t cane</t>
  </si>
  <si>
    <t>GHG emission agriculture with LUC</t>
  </si>
  <si>
    <t>Primary Energy Usage Agriculture</t>
  </si>
  <si>
    <t>MJ / kg cane</t>
  </si>
  <si>
    <t>Total atmospheric acidification burden per unit mass product agriculture</t>
  </si>
  <si>
    <t>CONVERSION FACTORS</t>
  </si>
  <si>
    <t>The calculations assume metric (SI) units. If other units are used, they may be converted by inputting values in the highlighted cells</t>
  </si>
  <si>
    <t>Length</t>
  </si>
  <si>
    <t>feet</t>
  </si>
  <si>
    <t>centimeters</t>
  </si>
  <si>
    <t>meters</t>
  </si>
  <si>
    <t>inches</t>
  </si>
  <si>
    <t>millimeters</t>
  </si>
  <si>
    <t>miles</t>
  </si>
  <si>
    <t>kilometers</t>
  </si>
  <si>
    <t>yards</t>
  </si>
  <si>
    <t>Area</t>
  </si>
  <si>
    <t>acres</t>
  </si>
  <si>
    <t>hectares</t>
  </si>
  <si>
    <t>square feet</t>
  </si>
  <si>
    <t>square meters</t>
  </si>
  <si>
    <t>Volume</t>
  </si>
  <si>
    <t>cubic feet</t>
  </si>
  <si>
    <t>liters</t>
  </si>
  <si>
    <t>cubic meters</t>
  </si>
  <si>
    <t>gallons (US)</t>
  </si>
  <si>
    <t>gallons (imp.)</t>
  </si>
  <si>
    <t>Mass</t>
  </si>
  <si>
    <t>pounds</t>
  </si>
  <si>
    <t>grams</t>
  </si>
  <si>
    <t>tons (short)</t>
  </si>
  <si>
    <t>kilograms</t>
  </si>
  <si>
    <t>tonnes (metric)</t>
  </si>
  <si>
    <t>Energy (work, heat)</t>
  </si>
  <si>
    <t>BTU</t>
  </si>
  <si>
    <t>kilowatt hours</t>
  </si>
  <si>
    <t>kJoules</t>
  </si>
  <si>
    <t>calories</t>
  </si>
  <si>
    <t>Joules</t>
  </si>
  <si>
    <t>kilogram calories</t>
  </si>
  <si>
    <t>Joule</t>
  </si>
  <si>
    <t>Volumetric flow</t>
  </si>
  <si>
    <t>cubic feet / h</t>
  </si>
  <si>
    <t>cubic meters / h</t>
  </si>
  <si>
    <t>liters / min</t>
  </si>
  <si>
    <t>cubic feet / sec (cusec)</t>
  </si>
  <si>
    <t>cubic meter / sec (cumec)</t>
  </si>
  <si>
    <t>gallons /  min (US)</t>
  </si>
  <si>
    <t>gallons / min (imp.)</t>
  </si>
  <si>
    <t>Density</t>
  </si>
  <si>
    <t>pounds / cubic foot</t>
  </si>
  <si>
    <t>kilogram / cubic meter</t>
  </si>
  <si>
    <t>Pressure</t>
  </si>
  <si>
    <t>atmospheres</t>
  </si>
  <si>
    <t>kPascals</t>
  </si>
  <si>
    <t>meter water</t>
  </si>
  <si>
    <t>bar</t>
  </si>
  <si>
    <t xml:space="preserve">kilogram / square meter </t>
  </si>
  <si>
    <t xml:space="preserve">kilogram / square cm </t>
  </si>
  <si>
    <t>pound / square inch</t>
  </si>
  <si>
    <t>Power (heat flow)</t>
  </si>
  <si>
    <t>foot pounds / second</t>
  </si>
  <si>
    <t>Watts</t>
  </si>
  <si>
    <t>horsepower</t>
  </si>
  <si>
    <t>kWatts</t>
  </si>
  <si>
    <t>yes</t>
  </si>
  <si>
    <t>no</t>
  </si>
  <si>
    <t>AED</t>
  </si>
  <si>
    <t>United Arab Emirates Dirham</t>
  </si>
  <si>
    <t>AFN</t>
  </si>
  <si>
    <t>Afghanistan Afghani</t>
  </si>
  <si>
    <t>ALL</t>
  </si>
  <si>
    <t>Albania Lek</t>
  </si>
  <si>
    <t>AMD</t>
  </si>
  <si>
    <t>Armenia Dram</t>
  </si>
  <si>
    <t>ANG</t>
  </si>
  <si>
    <t>Netherlands Antilles Guilder</t>
  </si>
  <si>
    <t>AOA</t>
  </si>
  <si>
    <t>Angola Kwanza</t>
  </si>
  <si>
    <t>ARS</t>
  </si>
  <si>
    <t>Argentina Peso</t>
  </si>
  <si>
    <t>AUD</t>
  </si>
  <si>
    <t>Australia Dollar</t>
  </si>
  <si>
    <t>AWG</t>
  </si>
  <si>
    <t>Aruba Guilder</t>
  </si>
  <si>
    <t>AZN</t>
  </si>
  <si>
    <t>Azerbaijan New Manat</t>
  </si>
  <si>
    <t>BAM</t>
  </si>
  <si>
    <t>Bosnia and Herzegovina Convertible Marka</t>
  </si>
  <si>
    <t>BBD</t>
  </si>
  <si>
    <t>Barbados Dollar</t>
  </si>
  <si>
    <t>BDT</t>
  </si>
  <si>
    <t>Bangladesh Taka</t>
  </si>
  <si>
    <t>BGN</t>
  </si>
  <si>
    <t>Bulgaria Lev</t>
  </si>
  <si>
    <t>BHD</t>
  </si>
  <si>
    <t>Bahrain Dinar</t>
  </si>
  <si>
    <t>BIF</t>
  </si>
  <si>
    <t>Burundi Franc</t>
  </si>
  <si>
    <t>BMD</t>
  </si>
  <si>
    <t>Bermuda Dollar</t>
  </si>
  <si>
    <t>BND</t>
  </si>
  <si>
    <t>Brunei Darussalam Dollar</t>
  </si>
  <si>
    <t>BOB</t>
  </si>
  <si>
    <t>Bolivia Boliviano</t>
  </si>
  <si>
    <t>BRL</t>
  </si>
  <si>
    <t>Brazil Real</t>
  </si>
  <si>
    <t>BSD</t>
  </si>
  <si>
    <t>Bahamas Dollar</t>
  </si>
  <si>
    <t>BTN</t>
  </si>
  <si>
    <t>Bhutan Ngultrum</t>
  </si>
  <si>
    <t>BWP</t>
  </si>
  <si>
    <t>Botswana Pula</t>
  </si>
  <si>
    <t>BYR</t>
  </si>
  <si>
    <t>Belarus Ruble</t>
  </si>
  <si>
    <t>BZD</t>
  </si>
  <si>
    <t>Belize Dollar</t>
  </si>
  <si>
    <t>CAD</t>
  </si>
  <si>
    <t>Canada Dollar</t>
  </si>
  <si>
    <t>CDF</t>
  </si>
  <si>
    <t>Congo/Kinshasa Franc</t>
  </si>
  <si>
    <t>CHF</t>
  </si>
  <si>
    <t>Switzerland Franc</t>
  </si>
  <si>
    <t>CLP</t>
  </si>
  <si>
    <t>Chile Peso</t>
  </si>
  <si>
    <t>CNY</t>
  </si>
  <si>
    <t>China Yuan Renminbi</t>
  </si>
  <si>
    <t>COP</t>
  </si>
  <si>
    <t>Colombia Peso</t>
  </si>
  <si>
    <t>CRC</t>
  </si>
  <si>
    <t>Costa Rica Colon</t>
  </si>
  <si>
    <t>CUC</t>
  </si>
  <si>
    <t>Cuba Convertible Peso</t>
  </si>
  <si>
    <t>CUP</t>
  </si>
  <si>
    <t>Cuba Peso</t>
  </si>
  <si>
    <t>CVE</t>
  </si>
  <si>
    <t>Cape Verde Escudo</t>
  </si>
  <si>
    <t>CZK</t>
  </si>
  <si>
    <t>Czech Republic Koruna</t>
  </si>
  <si>
    <t>DJF</t>
  </si>
  <si>
    <t>Djibouti Franc</t>
  </si>
  <si>
    <t>DKK</t>
  </si>
  <si>
    <t>Denmark Krone</t>
  </si>
  <si>
    <t>DOP</t>
  </si>
  <si>
    <t>Dominican Republic Peso</t>
  </si>
  <si>
    <t>DZD</t>
  </si>
  <si>
    <t>Algeria Dinar</t>
  </si>
  <si>
    <t>EGP</t>
  </si>
  <si>
    <t>Egypt Pound</t>
  </si>
  <si>
    <t>ERN</t>
  </si>
  <si>
    <t>Eritrea Nakfa</t>
  </si>
  <si>
    <t>ETB</t>
  </si>
  <si>
    <t>Ethiopia Birr</t>
  </si>
  <si>
    <t>EUR</t>
  </si>
  <si>
    <t>Euro Member Countries</t>
  </si>
  <si>
    <t>FJD</t>
  </si>
  <si>
    <t>Fiji Dollar</t>
  </si>
  <si>
    <t>FKP</t>
  </si>
  <si>
    <t>Falkland Islands (Malvinas) Pound</t>
  </si>
  <si>
    <t>GBP</t>
  </si>
  <si>
    <t>United Kingdom Pound</t>
  </si>
  <si>
    <t>GEL</t>
  </si>
  <si>
    <t>Georgia Lari</t>
  </si>
  <si>
    <t>GGP</t>
  </si>
  <si>
    <t>Guernsey Pound</t>
  </si>
  <si>
    <t>GHS</t>
  </si>
  <si>
    <t>Ghana Cedi</t>
  </si>
  <si>
    <t>GIP</t>
  </si>
  <si>
    <t>Gibraltar Pound</t>
  </si>
  <si>
    <t>GMD</t>
  </si>
  <si>
    <t>Gambia Dalasi</t>
  </si>
  <si>
    <t>GNF</t>
  </si>
  <si>
    <t>Guinea Franc</t>
  </si>
  <si>
    <t>GTQ</t>
  </si>
  <si>
    <t>Guatemala Quetzal</t>
  </si>
  <si>
    <t>GYD</t>
  </si>
  <si>
    <t>Guyana Dollar</t>
  </si>
  <si>
    <t>HKD</t>
  </si>
  <si>
    <t>Hong Kong Dollar</t>
  </si>
  <si>
    <t>HNL</t>
  </si>
  <si>
    <t>Honduras Lempira</t>
  </si>
  <si>
    <t>HRK</t>
  </si>
  <si>
    <t>Croatia Kuna</t>
  </si>
  <si>
    <t>HTG</t>
  </si>
  <si>
    <t>Haiti Gourde</t>
  </si>
  <si>
    <t>HUF</t>
  </si>
  <si>
    <t>Hungary Forint</t>
  </si>
  <si>
    <t>IDR</t>
  </si>
  <si>
    <t>Indonesia Rupiah</t>
  </si>
  <si>
    <t>ILS</t>
  </si>
  <si>
    <t>Israel Shekel</t>
  </si>
  <si>
    <t>IMP</t>
  </si>
  <si>
    <t>Isle of Man Pound</t>
  </si>
  <si>
    <t>INR</t>
  </si>
  <si>
    <t>India Rupee</t>
  </si>
  <si>
    <t>IQD</t>
  </si>
  <si>
    <t>Iraq Dinar</t>
  </si>
  <si>
    <t>IRR</t>
  </si>
  <si>
    <t>Iran Rial</t>
  </si>
  <si>
    <t>ISK</t>
  </si>
  <si>
    <t>Iceland Krona</t>
  </si>
  <si>
    <t>JEP</t>
  </si>
  <si>
    <t>Jersey Pound</t>
  </si>
  <si>
    <t>JMD</t>
  </si>
  <si>
    <t>Jamaica Dollar</t>
  </si>
  <si>
    <t>JOD</t>
  </si>
  <si>
    <t>Jordan Dinar</t>
  </si>
  <si>
    <t>JPY</t>
  </si>
  <si>
    <t>Japan Yen</t>
  </si>
  <si>
    <t>KES</t>
  </si>
  <si>
    <t>Kenya Shilling</t>
  </si>
  <si>
    <t>KGS</t>
  </si>
  <si>
    <t>Kyrgyzstan Som</t>
  </si>
  <si>
    <t>KHR</t>
  </si>
  <si>
    <t>Cambodia Riel</t>
  </si>
  <si>
    <t>KMF</t>
  </si>
  <si>
    <t>Comoros Franc</t>
  </si>
  <si>
    <t>KPW</t>
  </si>
  <si>
    <t>Korea (North) Won</t>
  </si>
  <si>
    <t>KRW</t>
  </si>
  <si>
    <t>Korea (South) Won</t>
  </si>
  <si>
    <t>KWD</t>
  </si>
  <si>
    <t>Kuwait Dinar</t>
  </si>
  <si>
    <t>KYD</t>
  </si>
  <si>
    <t>Cayman Islands Dollar</t>
  </si>
  <si>
    <t>KZT</t>
  </si>
  <si>
    <t>Kazakhstan Tenge</t>
  </si>
  <si>
    <t>LAK</t>
  </si>
  <si>
    <t>Laos Kip</t>
  </si>
  <si>
    <t>LBP</t>
  </si>
  <si>
    <t>Lebanon Pound</t>
  </si>
  <si>
    <t>LKR</t>
  </si>
  <si>
    <t>Sri Lanka Rupee</t>
  </si>
  <si>
    <t>LRD</t>
  </si>
  <si>
    <t>Liberia Dollar</t>
  </si>
  <si>
    <t>LSL</t>
  </si>
  <si>
    <t>Lesotho Loti</t>
  </si>
  <si>
    <t>LTL</t>
  </si>
  <si>
    <t>Lithuania Litas</t>
  </si>
  <si>
    <t>LYD</t>
  </si>
  <si>
    <t>Libya Dinar</t>
  </si>
  <si>
    <t>MAD</t>
  </si>
  <si>
    <t>Morocco Dirham</t>
  </si>
  <si>
    <t>MDL</t>
  </si>
  <si>
    <t>Moldova Leu</t>
  </si>
  <si>
    <t>MGA</t>
  </si>
  <si>
    <t>Madagascar Ariary</t>
  </si>
  <si>
    <t>MKD</t>
  </si>
  <si>
    <t>Macedonia Denar</t>
  </si>
  <si>
    <t>MMK</t>
  </si>
  <si>
    <t>Myanmar (Burma) Kyat</t>
  </si>
  <si>
    <t>MNT</t>
  </si>
  <si>
    <t>Mongolia Tughrik</t>
  </si>
  <si>
    <t>MOP</t>
  </si>
  <si>
    <t>Macau Pataca</t>
  </si>
  <si>
    <t>MRO</t>
  </si>
  <si>
    <t>Mauritania Ouguiya</t>
  </si>
  <si>
    <t>MUR</t>
  </si>
  <si>
    <t>Mauritius Rupee</t>
  </si>
  <si>
    <t>MVR</t>
  </si>
  <si>
    <t>Maldives (Maldive Islands) Rufiyaa</t>
  </si>
  <si>
    <t>MWK</t>
  </si>
  <si>
    <t>Malawi Kwacha</t>
  </si>
  <si>
    <t>MXN</t>
  </si>
  <si>
    <t>Mexico Peso</t>
  </si>
  <si>
    <t>MYR</t>
  </si>
  <si>
    <t>Malaysia Ringgit</t>
  </si>
  <si>
    <t>MZN</t>
  </si>
  <si>
    <t>Mozambique Metical</t>
  </si>
  <si>
    <t>NAD</t>
  </si>
  <si>
    <t>Namibia Dollar</t>
  </si>
  <si>
    <t>NGN</t>
  </si>
  <si>
    <t>Nigeria Naira</t>
  </si>
  <si>
    <t>NIO</t>
  </si>
  <si>
    <t>Nicaragua Cordoba</t>
  </si>
  <si>
    <t>NOK</t>
  </si>
  <si>
    <t>Norway Krone</t>
  </si>
  <si>
    <t>NPR</t>
  </si>
  <si>
    <t>Nepal Rupee</t>
  </si>
  <si>
    <t>NZD</t>
  </si>
  <si>
    <t>New Zealand Dollar</t>
  </si>
  <si>
    <t>OMR</t>
  </si>
  <si>
    <t>Oman Rial</t>
  </si>
  <si>
    <t>PAB</t>
  </si>
  <si>
    <t>Panama Balboa</t>
  </si>
  <si>
    <t>PEN</t>
  </si>
  <si>
    <t>Peru Nuevo Sol</t>
  </si>
  <si>
    <t>PGK</t>
  </si>
  <si>
    <t>Papua New Guinea Kina</t>
  </si>
  <si>
    <t>PHP</t>
  </si>
  <si>
    <t>Philippines Peso</t>
  </si>
  <si>
    <t>PKR</t>
  </si>
  <si>
    <t>Pakistan Rupee</t>
  </si>
  <si>
    <t>PLN</t>
  </si>
  <si>
    <t>Poland Zloty</t>
  </si>
  <si>
    <t>PYG</t>
  </si>
  <si>
    <t>Paraguay Guarani</t>
  </si>
  <si>
    <t>QAR</t>
  </si>
  <si>
    <t>Qatar Riyal</t>
  </si>
  <si>
    <t>RON</t>
  </si>
  <si>
    <t>Romania New Leu</t>
  </si>
  <si>
    <t>RSD</t>
  </si>
  <si>
    <t>Serbia Dinar</t>
  </si>
  <si>
    <t>RUB</t>
  </si>
  <si>
    <t>Russia Ruble</t>
  </si>
  <si>
    <t>RWF</t>
  </si>
  <si>
    <t>Rwanda Franc</t>
  </si>
  <si>
    <t>SAR</t>
  </si>
  <si>
    <t>Saudi Arabia Riyal</t>
  </si>
  <si>
    <t>SBD</t>
  </si>
  <si>
    <t>Solomon Islands Dollar</t>
  </si>
  <si>
    <t>SCR</t>
  </si>
  <si>
    <t>Seychelles Rupee</t>
  </si>
  <si>
    <t>SDG</t>
  </si>
  <si>
    <t>Sudan Pound</t>
  </si>
  <si>
    <t>SEK</t>
  </si>
  <si>
    <t>Sweden Krona</t>
  </si>
  <si>
    <t>SGD</t>
  </si>
  <si>
    <t>Singapore Dollar</t>
  </si>
  <si>
    <t>SHP</t>
  </si>
  <si>
    <t>Saint Helena Pound</t>
  </si>
  <si>
    <t>SLL</t>
  </si>
  <si>
    <t>Sierra Leone Leone</t>
  </si>
  <si>
    <t>SOS</t>
  </si>
  <si>
    <t>Somalia Shilling</t>
  </si>
  <si>
    <t>SPL</t>
  </si>
  <si>
    <t>Seborga Luigino</t>
  </si>
  <si>
    <t>SRD</t>
  </si>
  <si>
    <t>Suriname Dollar</t>
  </si>
  <si>
    <t>STD</t>
  </si>
  <si>
    <t>São Tomé and Príncipe Dobra</t>
  </si>
  <si>
    <t>SVC</t>
  </si>
  <si>
    <t>El Salvador Colon</t>
  </si>
  <si>
    <t>SYP</t>
  </si>
  <si>
    <t>Syria Pound</t>
  </si>
  <si>
    <t>SZL</t>
  </si>
  <si>
    <t>Swaziland Lilangeni</t>
  </si>
  <si>
    <t>THB</t>
  </si>
  <si>
    <t>Thailand Baht</t>
  </si>
  <si>
    <t>TJS</t>
  </si>
  <si>
    <t>Tajikistan Somoni</t>
  </si>
  <si>
    <t>TMT</t>
  </si>
  <si>
    <t>Turkmenistan Manat</t>
  </si>
  <si>
    <t>TND</t>
  </si>
  <si>
    <t>Tunisia Dinar</t>
  </si>
  <si>
    <t>TOP</t>
  </si>
  <si>
    <t>Tonga Pa'anga</t>
  </si>
  <si>
    <t>TRY</t>
  </si>
  <si>
    <t>Turkey Lira</t>
  </si>
  <si>
    <t>TTD</t>
  </si>
  <si>
    <t>Trinidad and Tobago Dollar</t>
  </si>
  <si>
    <t>TVD</t>
  </si>
  <si>
    <t>Tuvalu Dollar</t>
  </si>
  <si>
    <t>TWD</t>
  </si>
  <si>
    <t>Taiwan New Dollar</t>
  </si>
  <si>
    <t>TZS</t>
  </si>
  <si>
    <t>Tanzania Shilling</t>
  </si>
  <si>
    <t>UAH</t>
  </si>
  <si>
    <t>Ukraine Hryvnia</t>
  </si>
  <si>
    <t>UGX</t>
  </si>
  <si>
    <t>Uganda Shilling</t>
  </si>
  <si>
    <t>USD</t>
  </si>
  <si>
    <t>United States Dollar</t>
  </si>
  <si>
    <t>UYU</t>
  </si>
  <si>
    <t>Uruguay Peso</t>
  </si>
  <si>
    <t>UZS</t>
  </si>
  <si>
    <t>Uzbekistan Som</t>
  </si>
  <si>
    <t>VEF</t>
  </si>
  <si>
    <t>Venezuela Bolivar</t>
  </si>
  <si>
    <t>VND</t>
  </si>
  <si>
    <t>Viet Nam Dong</t>
  </si>
  <si>
    <t>VUV</t>
  </si>
  <si>
    <t>Vanuatu Vatu</t>
  </si>
  <si>
    <t>WST</t>
  </si>
  <si>
    <t>Samoa Tala</t>
  </si>
  <si>
    <t>XAF</t>
  </si>
  <si>
    <t>Communauté Financière Africaine (BEAC) CFA Franc BEAC</t>
  </si>
  <si>
    <t>XCD</t>
  </si>
  <si>
    <t>East Caribbean Dollar</t>
  </si>
  <si>
    <t>XDR</t>
  </si>
  <si>
    <t>International Monetary Fund (IMF) Special Drawing Rights</t>
  </si>
  <si>
    <t>XOF</t>
  </si>
  <si>
    <t>Communauté Financière Africaine (BCEAO) Franc</t>
  </si>
  <si>
    <t>XPF</t>
  </si>
  <si>
    <t>Comptoirs Français du Pacifique (CFP) Franc</t>
  </si>
  <si>
    <t>YER</t>
  </si>
  <si>
    <t>Yemen Rial</t>
  </si>
  <si>
    <t>ZAR</t>
  </si>
  <si>
    <t>South Africa Rand</t>
  </si>
  <si>
    <t>ZMW</t>
  </si>
  <si>
    <t>Zambia Kwacha</t>
  </si>
  <si>
    <t>ZWD</t>
  </si>
  <si>
    <t>Zimbabwe Dollar</t>
  </si>
  <si>
    <t>REFERENCES</t>
  </si>
  <si>
    <r>
      <t>BSI</t>
    </r>
    <r>
      <rPr>
        <sz val="10"/>
        <color theme="1"/>
        <rFont val="Trebuchet MS"/>
        <family val="2"/>
      </rPr>
      <t xml:space="preserve"> (2008). PAS 2050:2008 – Specification for the assessment of the life cycle greenhouse gas emissions of goods and services.</t>
    </r>
  </si>
  <si>
    <r>
      <t>Farrell A.E.; Plevin R.J; Turner B.T.; Jones A.D.; O’Hare M.; Kammen D.M</t>
    </r>
    <r>
      <rPr>
        <sz val="10"/>
        <color theme="1"/>
        <rFont val="Trebuchet MS"/>
        <family val="2"/>
      </rPr>
      <t>. (2006): Ethanol can contribute to energy and environmental goals. Science 311, 506-508.</t>
    </r>
  </si>
  <si>
    <r>
      <t>IPCC.</t>
    </r>
    <r>
      <rPr>
        <sz val="10"/>
        <color theme="1"/>
        <rFont val="Trebuchet MS"/>
        <family val="2"/>
      </rPr>
      <t xml:space="preserve"> (2007). Climate Change 2007: Synthesis report. Contribution of Working Groups I, II, and III to the Fourth Assessment Report on the Intergovernmental Panel on Climate Change. IPCC, Geneva.</t>
    </r>
  </si>
  <si>
    <r>
      <t xml:space="preserve">Macedo I.C.; Seabra J.E.A.; Silva J.E.A.R. </t>
    </r>
    <r>
      <rPr>
        <sz val="10"/>
        <color theme="1"/>
        <rFont val="Trebuchet MS"/>
        <family val="2"/>
      </rPr>
      <t xml:space="preserve">(2008). Green house gases emissions in the production and use of ethanol from sugarcane in Brazil: The 2005/2006 averages and a prediction for 2020. Biomass and Bioenergy 32: 4. </t>
    </r>
  </si>
  <si>
    <r>
      <t>Mortimer D.E.; Elsayed M.A.; Horne R.E.</t>
    </r>
    <r>
      <rPr>
        <sz val="10"/>
        <color theme="1"/>
        <rFont val="Trebuchet MS"/>
        <family val="2"/>
      </rPr>
      <t xml:space="preserve"> (2004): Energy and greenhouse gas emissions for bioethanol production from wheat grain and sugar beet. Report No. 23/1 for British Sugar plc.</t>
    </r>
  </si>
  <si>
    <r>
      <rPr>
        <b/>
        <sz val="11"/>
        <color theme="1"/>
        <rFont val="Calibri"/>
        <family val="2"/>
        <scheme val="minor"/>
      </rPr>
      <t>Plassmann K.; Norton A.; Attarzadeh N.; Jensen M.P.; Brenton P.</t>
    </r>
    <r>
      <rPr>
        <sz val="11"/>
        <color theme="1"/>
        <rFont val="Calibri"/>
        <family val="2"/>
        <scheme val="minor"/>
      </rPr>
      <t xml:space="preserve"> (2010). Methodological complexities of product carbon footprinting: a sensitivity analysis of key variables in a developing country context. Environ. Sci. Policy.13, 393-404.</t>
    </r>
  </si>
  <si>
    <r>
      <t xml:space="preserve">Rein P. </t>
    </r>
    <r>
      <rPr>
        <sz val="10"/>
        <color theme="1"/>
        <rFont val="Trebuchet MS"/>
        <family val="2"/>
      </rPr>
      <t>(2007)</t>
    </r>
    <r>
      <rPr>
        <b/>
        <sz val="10"/>
        <color theme="1"/>
        <rFont val="Trebuchet MS"/>
        <family val="2"/>
      </rPr>
      <t xml:space="preserve">. </t>
    </r>
    <r>
      <rPr>
        <i/>
        <sz val="10"/>
        <color theme="1"/>
        <rFont val="Trebuchet MS"/>
        <family val="2"/>
      </rPr>
      <t>Cane Sugar Engineering.</t>
    </r>
    <r>
      <rPr>
        <sz val="10"/>
        <color theme="1"/>
        <rFont val="Trebuchet MS"/>
        <family val="2"/>
      </rPr>
      <t xml:space="preserve"> Bartens, Berlin.</t>
    </r>
  </si>
  <si>
    <r>
      <t>Shapouri H.; Duffield J.; McAloon A.; Wang M.</t>
    </r>
    <r>
      <rPr>
        <sz val="10"/>
        <color theme="1"/>
        <rFont val="Trebuchet MS"/>
        <family val="2"/>
      </rPr>
      <t xml:space="preserve"> (2004): The 2001 net energy balance of corn-ethanol. Proc. Conf. on Agriculture as a Producer and Consumer of Energy. Arlington VA.</t>
    </r>
  </si>
  <si>
    <r>
      <rPr>
        <b/>
        <sz val="10"/>
        <color theme="1"/>
        <rFont val="Trebuchet MS"/>
        <family val="2"/>
      </rPr>
      <t xml:space="preserve">Wang M.; Wu M.; Huo H.; Liu J. </t>
    </r>
    <r>
      <rPr>
        <sz val="10"/>
        <color theme="1"/>
        <rFont val="Trebuchet MS"/>
        <family val="2"/>
      </rPr>
      <t>(2008). Life-cycle energy use and greenhouse gas emission implications of Brazilian sugarcane ethanol simulated with the GREET model. Int. Sugar J. 110, 1317, 527-545.</t>
    </r>
  </si>
  <si>
    <t>SYMBOLS AND ABBREVIATIONS</t>
  </si>
  <si>
    <t>The spreadsheets use metric (SI) units. Quantities can be converted to metric units using the conversion tables on the Conversion Factors sheet.</t>
  </si>
  <si>
    <t xml:space="preserve">Symbols and Abbreviations           </t>
  </si>
  <si>
    <t>DM</t>
  </si>
  <si>
    <t>Dry matter</t>
  </si>
  <si>
    <t>EM</t>
  </si>
  <si>
    <t>Extraneous matter</t>
  </si>
  <si>
    <t>EIMP</t>
  </si>
  <si>
    <t>Environmental Impact &amp; management plan</t>
  </si>
  <si>
    <t>ESIA</t>
  </si>
  <si>
    <t>Environmental and social impact assessment</t>
  </si>
  <si>
    <t>g</t>
  </si>
  <si>
    <t>Grams</t>
  </si>
  <si>
    <t>GHG</t>
  </si>
  <si>
    <t>Greenhouse Gas</t>
  </si>
  <si>
    <t>Gigawatt hours</t>
  </si>
  <si>
    <t>Hectares</t>
  </si>
  <si>
    <t>HCV</t>
  </si>
  <si>
    <t>High conservation value</t>
  </si>
  <si>
    <t>Kilograms</t>
  </si>
  <si>
    <t>kJ</t>
  </si>
  <si>
    <t>Kilojoules</t>
  </si>
  <si>
    <t>Kilowatt hours</t>
  </si>
  <si>
    <t>Litres</t>
  </si>
  <si>
    <t>LHV</t>
  </si>
  <si>
    <t>Lower heating value (net calorific value)</t>
  </si>
  <si>
    <t>Cubic metres</t>
  </si>
  <si>
    <t>Megajoules</t>
  </si>
  <si>
    <t>PPE</t>
  </si>
  <si>
    <t>Personal protective equipment</t>
  </si>
  <si>
    <t>RS</t>
  </si>
  <si>
    <t>Reducing (invert) sugars</t>
  </si>
  <si>
    <t>Metric tonnes</t>
  </si>
  <si>
    <t>TSAI</t>
  </si>
  <si>
    <t>Total sugars expressed as invert</t>
  </si>
  <si>
    <t xml:space="preserve">y </t>
  </si>
  <si>
    <t>Year</t>
  </si>
  <si>
    <r>
      <t>W</t>
    </r>
    <r>
      <rPr>
        <vertAlign val="subscript"/>
        <sz val="8"/>
        <rFont val="Trebuchet MS"/>
        <family val="2"/>
      </rPr>
      <t>SO2</t>
    </r>
  </si>
  <si>
    <r>
      <t>Weight of SO</t>
    </r>
    <r>
      <rPr>
        <vertAlign val="subscript"/>
        <sz val="8"/>
        <rFont val="Trebuchet MS"/>
        <family val="2"/>
      </rPr>
      <t>2</t>
    </r>
  </si>
  <si>
    <r>
      <t>W</t>
    </r>
    <r>
      <rPr>
        <vertAlign val="subscript"/>
        <sz val="8"/>
        <rFont val="Trebuchet MS"/>
        <family val="2"/>
      </rPr>
      <t>NO2</t>
    </r>
  </si>
  <si>
    <r>
      <t>Weight of NO</t>
    </r>
    <r>
      <rPr>
        <vertAlign val="subscript"/>
        <sz val="8"/>
        <rFont val="Trebuchet MS"/>
        <family val="2"/>
      </rPr>
      <t>2</t>
    </r>
  </si>
  <si>
    <t>EB</t>
  </si>
  <si>
    <t>Environmental Burden</t>
  </si>
  <si>
    <t>eq</t>
  </si>
  <si>
    <t>Equivalent</t>
  </si>
  <si>
    <t>PF</t>
  </si>
  <si>
    <t xml:space="preserve">Potency Factor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</si>
</sst>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0.0000"/>
    <numFmt numFmtId="166" formatCode="0.000"/>
    <numFmt numFmtId="167" formatCode="_(* #,##0_);_(* \(#,##0\);_(* &quot;-&quot;??_);_(@_)"/>
    <numFmt numFmtId="168" formatCode="_(* #,##0.0_);_(* \(#,##0.0\);_(* &quot;-&quot;??_);_(@_)"/>
    <numFmt numFmtId="169" formatCode="0.0000000"/>
    <numFmt numFmtId="170" formatCode="0.000E+00"/>
    <numFmt numFmtId="171" formatCode="0.00000"/>
    <numFmt numFmtId="172" formatCode="#,##0.0"/>
    <numFmt numFmtId="173" formatCode="0_ ;\-0\ "/>
    <numFmt numFmtId="174" formatCode="0.0000_)"/>
    <numFmt numFmtId="175" formatCode="0.00_)"/>
    <numFmt numFmtId="176" formatCode="0.00000_)"/>
    <numFmt numFmtId="177" formatCode="0.000000_)"/>
    <numFmt numFmtId="178" formatCode="0.000E+00_)"/>
    <numFmt numFmtId="179" formatCode="[$-F800]dddd\,\ mmmm\ dd\,\ yyyy"/>
    <numFmt numFmtId="180" formatCode="_(* #,##0.0000_);_(* \(#,##0.0000\);_(* &quot;-&quot;??_);_(@_)"/>
    <numFmt numFmtId="181" formatCode="_-* #,##0_-;\-* #,##0_-;_-* &quot;-&quot;??_-;_-@_-"/>
  </numFmts>
  <fonts count="88" x14ac:knownFonts="1">
    <font>
      <sz val="11"/>
      <color theme="1"/>
      <name val="Calibri"/>
      <family val="2"/>
      <scheme val="minor"/>
    </font>
    <font>
      <sz val="18"/>
      <color rgb="FF666666"/>
      <name val="Trebuchet MS"/>
      <family val="2"/>
    </font>
    <font>
      <sz val="11"/>
      <color rgb="FFFF0000"/>
      <name val="Calibri"/>
      <family val="2"/>
      <scheme val="minor"/>
    </font>
    <font>
      <b/>
      <sz val="8"/>
      <color rgb="FF333333"/>
      <name val="Trebuchet MS"/>
      <family val="2"/>
    </font>
    <font>
      <b/>
      <sz val="8"/>
      <color theme="1"/>
      <name val="Trebuchet MS"/>
      <family val="2"/>
    </font>
    <font>
      <sz val="8"/>
      <color theme="1"/>
      <name val="Trebuchet MS"/>
      <family val="2"/>
    </font>
    <font>
      <b/>
      <sz val="8"/>
      <name val="Trebuchet MS"/>
      <family val="2"/>
    </font>
    <font>
      <sz val="8"/>
      <color rgb="FFFF0000"/>
      <name val="Trebuchet MS"/>
      <family val="2"/>
    </font>
    <font>
      <b/>
      <sz val="11"/>
      <color theme="1"/>
      <name val="Calibri"/>
      <family val="2"/>
      <scheme val="minor"/>
    </font>
    <font>
      <sz val="8"/>
      <name val="Trebuchet MS"/>
      <family val="2"/>
    </font>
    <font>
      <sz val="20"/>
      <color theme="4"/>
      <name val="Trebuchet MS"/>
      <family val="2"/>
    </font>
    <font>
      <b/>
      <vertAlign val="subscript"/>
      <sz val="8"/>
      <color theme="1"/>
      <name val="Trebuchet MS"/>
      <family val="2"/>
    </font>
    <font>
      <vertAlign val="subscript"/>
      <sz val="8"/>
      <color theme="1"/>
      <name val="Trebuchet MS"/>
      <family val="2"/>
    </font>
    <font>
      <vertAlign val="subscript"/>
      <sz val="8"/>
      <name val="Trebuchet MS"/>
      <family val="2"/>
    </font>
    <font>
      <sz val="8"/>
      <color rgb="FF333333"/>
      <name val="Trebuchet MS"/>
      <family val="2"/>
    </font>
    <font>
      <i/>
      <sz val="11"/>
      <color theme="1"/>
      <name val="Calibri"/>
      <family val="2"/>
      <scheme val="minor"/>
    </font>
    <font>
      <sz val="10"/>
      <color rgb="FF0070C0"/>
      <name val="Arial"/>
      <family val="2"/>
    </font>
    <font>
      <sz val="10"/>
      <name val="Arial"/>
      <family val="2"/>
    </font>
    <font>
      <b/>
      <sz val="10"/>
      <name val="Arial"/>
      <family val="2"/>
    </font>
    <font>
      <b/>
      <sz val="8"/>
      <color rgb="FFFF0000"/>
      <name val="Trebuchet MS"/>
      <family val="2"/>
    </font>
    <font>
      <i/>
      <sz val="8"/>
      <name val="Trebuchet MS"/>
      <family val="2"/>
    </font>
    <font>
      <i/>
      <sz val="8"/>
      <color rgb="FFFF0000"/>
      <name val="Trebuchet MS"/>
      <family val="2"/>
    </font>
    <font>
      <sz val="8"/>
      <color rgb="FF0070C0"/>
      <name val="Trebuchet MS"/>
      <family val="2"/>
    </font>
    <font>
      <sz val="11"/>
      <color rgb="FF0070C0"/>
      <name val="Calibri"/>
      <family val="2"/>
      <scheme val="minor"/>
    </font>
    <font>
      <sz val="11"/>
      <name val="Calibri"/>
      <family val="2"/>
      <scheme val="minor"/>
    </font>
    <font>
      <sz val="10"/>
      <color rgb="FFFF0000"/>
      <name val="Calibri"/>
      <family val="2"/>
      <scheme val="minor"/>
    </font>
    <font>
      <sz val="11"/>
      <color theme="1"/>
      <name val="Calibri"/>
      <family val="2"/>
      <scheme val="minor"/>
    </font>
    <font>
      <vertAlign val="superscript"/>
      <sz val="8"/>
      <color theme="1"/>
      <name val="Trebuchet MS"/>
      <family val="2"/>
    </font>
    <font>
      <u/>
      <sz val="11"/>
      <color theme="10"/>
      <name val="Calibri"/>
      <family val="2"/>
    </font>
    <font>
      <sz val="9"/>
      <color indexed="81"/>
      <name val="Tahoma"/>
      <family val="2"/>
    </font>
    <font>
      <sz val="8"/>
      <color rgb="FF00B050"/>
      <name val="Trebuchet MS"/>
      <family val="2"/>
    </font>
    <font>
      <i/>
      <sz val="8"/>
      <color theme="1"/>
      <name val="Trebuchet MS"/>
      <family val="2"/>
    </font>
    <font>
      <u/>
      <sz val="8"/>
      <color theme="10"/>
      <name val="Trebuchet MS"/>
      <family val="2"/>
    </font>
    <font>
      <i/>
      <sz val="8"/>
      <color rgb="FF00B050"/>
      <name val="Trebuchet MS"/>
      <family val="2"/>
    </font>
    <font>
      <vertAlign val="subscript"/>
      <sz val="10"/>
      <name val="Trebuchet MS"/>
      <family val="2"/>
    </font>
    <font>
      <sz val="20"/>
      <color rgb="FFFF0000"/>
      <name val="Calibri"/>
      <family val="2"/>
      <scheme val="minor"/>
    </font>
    <font>
      <sz val="18"/>
      <color theme="1" tint="0.34998626667073579"/>
      <name val="Calibri"/>
      <family val="2"/>
      <scheme val="minor"/>
    </font>
    <font>
      <sz val="18"/>
      <color theme="1" tint="0.34998626667073579"/>
      <name val="Trebuchet MS"/>
      <family val="2"/>
    </font>
    <font>
      <b/>
      <sz val="8"/>
      <color theme="1" tint="0.34998626667073579"/>
      <name val="Trebuchet MS"/>
      <family val="2"/>
    </font>
    <font>
      <sz val="20"/>
      <color theme="1" tint="0.34998626667073579"/>
      <name val="Calibri"/>
      <family val="2"/>
      <scheme val="minor"/>
    </font>
    <font>
      <b/>
      <sz val="8"/>
      <color rgb="FF00B050"/>
      <name val="Trebuchet MS"/>
      <family val="2"/>
    </font>
    <font>
      <sz val="10"/>
      <name val="Trebuchet MS"/>
      <family val="2"/>
    </font>
    <font>
      <sz val="11"/>
      <color theme="1"/>
      <name val="Trebuchet MS"/>
      <family val="2"/>
    </font>
    <font>
      <sz val="11"/>
      <color theme="1" tint="0.34998626667073579"/>
      <name val="Trebuchet MS"/>
      <family val="2"/>
    </font>
    <font>
      <b/>
      <sz val="18"/>
      <color theme="1" tint="0.34998626667073579"/>
      <name val="Trebuchet MS"/>
      <family val="2"/>
    </font>
    <font>
      <sz val="11"/>
      <color theme="1" tint="0.34998626667073579"/>
      <name val="Calibri"/>
      <family val="2"/>
      <scheme val="minor"/>
    </font>
    <font>
      <sz val="8"/>
      <color theme="1" tint="0.34998626667073579"/>
      <name val="Trebuchet MS"/>
      <family val="2"/>
    </font>
    <font>
      <sz val="10"/>
      <color theme="1"/>
      <name val="Trebuchet MS"/>
      <family val="2"/>
    </font>
    <font>
      <b/>
      <sz val="10"/>
      <color theme="1"/>
      <name val="Trebuchet MS"/>
      <family val="2"/>
    </font>
    <font>
      <i/>
      <sz val="10"/>
      <color theme="1"/>
      <name val="Trebuchet MS"/>
      <family val="2"/>
    </font>
    <font>
      <b/>
      <sz val="12"/>
      <color theme="1" tint="0.34998626667073579"/>
      <name val="Trebuchet MS"/>
      <family val="2"/>
    </font>
    <font>
      <sz val="14"/>
      <color rgb="FF666666"/>
      <name val="Trebuchet MS"/>
      <family val="2"/>
    </font>
    <font>
      <sz val="16"/>
      <color theme="1" tint="0.34998626667073579"/>
      <name val="Trebuchet MS"/>
      <family val="2"/>
    </font>
    <font>
      <sz val="14"/>
      <color theme="1" tint="0.34998626667073579"/>
      <name val="Trebuchet MS"/>
      <family val="2"/>
    </font>
    <font>
      <sz val="10"/>
      <color theme="1" tint="0.34998626667073579"/>
      <name val="Trebuchet MS"/>
      <family val="2"/>
    </font>
    <font>
      <sz val="20"/>
      <color theme="1" tint="0.34998626667073579"/>
      <name val="Trebuchet MS"/>
      <family val="2"/>
    </font>
    <font>
      <vertAlign val="superscript"/>
      <sz val="8"/>
      <name val="Trebuchet MS"/>
      <family val="2"/>
    </font>
    <font>
      <sz val="10"/>
      <color theme="1" tint="0.34998626667073579"/>
      <name val="Calibri"/>
      <family val="2"/>
      <scheme val="minor"/>
    </font>
    <font>
      <sz val="8"/>
      <name val="Calibri"/>
      <family val="2"/>
      <scheme val="minor"/>
    </font>
    <font>
      <sz val="12"/>
      <color rgb="FFFF0000"/>
      <name val="Trebuchet MS"/>
      <family val="2"/>
    </font>
    <font>
      <b/>
      <sz val="11"/>
      <color theme="1" tint="0.34998626667073579"/>
      <name val="Calibri"/>
      <family val="2"/>
      <scheme val="minor"/>
    </font>
    <font>
      <b/>
      <sz val="11"/>
      <color theme="1" tint="0.34998626667073579"/>
      <name val="Trebuchet MS"/>
      <family val="2"/>
    </font>
    <font>
      <b/>
      <sz val="14"/>
      <color theme="1" tint="0.34998626667073579"/>
      <name val="Trebuchet MS"/>
      <family val="2"/>
    </font>
    <font>
      <b/>
      <sz val="14"/>
      <color theme="1" tint="0.34998626667073579"/>
      <name val="Calibri"/>
      <family val="2"/>
      <scheme val="minor"/>
    </font>
    <font>
      <sz val="11"/>
      <color theme="1" tint="0.34998626667073579"/>
      <name val="Arial"/>
      <family val="2"/>
    </font>
    <font>
      <sz val="9"/>
      <color theme="1" tint="0.34998626667073579"/>
      <name val="Trebuchet MS"/>
      <family val="2"/>
    </font>
    <font>
      <sz val="14"/>
      <color theme="1"/>
      <name val="Calibri"/>
      <family val="2"/>
      <scheme val="minor"/>
    </font>
    <font>
      <u/>
      <sz val="11"/>
      <color theme="11"/>
      <name val="Calibri"/>
      <family val="2"/>
      <scheme val="minor"/>
    </font>
    <font>
      <sz val="12"/>
      <color theme="1"/>
      <name val="Helvetica"/>
    </font>
    <font>
      <sz val="12"/>
      <color rgb="FF000000"/>
      <name val="Calibri"/>
      <family val="2"/>
      <scheme val="minor"/>
    </font>
    <font>
      <sz val="8"/>
      <color theme="0" tint="-0.14999847407452621"/>
      <name val="Trebuchet MS"/>
      <family val="2"/>
    </font>
    <font>
      <sz val="11"/>
      <color theme="0" tint="-0.14999847407452621"/>
      <name val="Calibri"/>
      <family val="2"/>
      <scheme val="minor"/>
    </font>
    <font>
      <sz val="11"/>
      <color indexed="8"/>
      <name val="Calibri"/>
      <family val="2"/>
    </font>
    <font>
      <sz val="8"/>
      <color theme="1"/>
      <name val="Calibri"/>
      <family val="2"/>
      <scheme val="minor"/>
    </font>
    <font>
      <u/>
      <sz val="8"/>
      <color theme="1"/>
      <name val="Calibri"/>
      <family val="2"/>
      <scheme val="minor"/>
    </font>
    <font>
      <u/>
      <sz val="11"/>
      <color theme="10"/>
      <name val="Calibri"/>
      <family val="2"/>
      <scheme val="minor"/>
    </font>
    <font>
      <sz val="11"/>
      <color rgb="FFFFC000"/>
      <name val="Calibri"/>
      <family val="2"/>
      <scheme val="minor"/>
    </font>
    <font>
      <sz val="8"/>
      <color rgb="FF000000"/>
      <name val="Trebuchet MS"/>
      <family val="2"/>
    </font>
    <font>
      <b/>
      <vertAlign val="subscript"/>
      <sz val="10"/>
      <name val="Trebuchet MS"/>
      <family val="2"/>
    </font>
    <font>
      <sz val="18"/>
      <color theme="1"/>
      <name val="Trebuchet MS"/>
      <family val="2"/>
    </font>
    <font>
      <b/>
      <sz val="11"/>
      <color rgb="FFFF0000"/>
      <name val="Calibri"/>
      <family val="2"/>
      <scheme val="minor"/>
    </font>
    <font>
      <b/>
      <sz val="8"/>
      <color rgb="FF7030A0"/>
      <name val="Trebuchet MS"/>
      <family val="2"/>
    </font>
    <font>
      <b/>
      <sz val="8"/>
      <color rgb="FF000000"/>
      <name val="Trebuchet MS"/>
      <family val="2"/>
    </font>
    <font>
      <sz val="14"/>
      <color theme="1"/>
      <name val="Trebuchet MS"/>
      <family val="2"/>
    </font>
    <font>
      <sz val="14"/>
      <name val="Trebuchet MS"/>
      <family val="2"/>
    </font>
    <font>
      <b/>
      <sz val="16"/>
      <color rgb="FFFF0000"/>
      <name val="Trebuchet MS"/>
      <family val="2"/>
    </font>
    <font>
      <b/>
      <sz val="20"/>
      <color theme="1"/>
      <name val="Calibri"/>
      <family val="2"/>
      <scheme val="minor"/>
    </font>
    <font>
      <sz val="16"/>
      <color theme="1"/>
      <name val="Trebuchet MS"/>
      <family val="2"/>
    </font>
  </fonts>
  <fills count="1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rgb="FF000000"/>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s>
  <borders count="104">
    <border>
      <left/>
      <right/>
      <top/>
      <bottom/>
      <diagonal/>
    </border>
    <border>
      <left style="medium">
        <color auto="1"/>
      </left>
      <right style="medium">
        <color auto="1"/>
      </right>
      <top style="medium">
        <color auto="1"/>
      </top>
      <bottom style="medium">
        <color auto="1"/>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medium">
        <color rgb="FF00B050"/>
      </left>
      <right style="medium">
        <color rgb="FF00B050"/>
      </right>
      <top style="medium">
        <color rgb="FF00B050"/>
      </top>
      <bottom style="medium">
        <color rgb="FF00B050"/>
      </bottom>
      <diagonal/>
    </border>
    <border>
      <left/>
      <right/>
      <top/>
      <bottom style="medium">
        <color theme="4"/>
      </bottom>
      <diagonal/>
    </border>
    <border>
      <left/>
      <right/>
      <top style="medium">
        <color theme="4"/>
      </top>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right/>
      <top style="medium">
        <color auto="1"/>
      </top>
      <bottom/>
      <diagonal/>
    </border>
    <border>
      <left/>
      <right style="thin">
        <color theme="4"/>
      </right>
      <top style="medium">
        <color theme="4"/>
      </top>
      <bottom style="medium">
        <color theme="4"/>
      </bottom>
      <diagonal/>
    </border>
    <border>
      <left/>
      <right style="thin">
        <color theme="4"/>
      </right>
      <top/>
      <bottom/>
      <diagonal/>
    </border>
    <border>
      <left/>
      <right style="thin">
        <color theme="4"/>
      </right>
      <top/>
      <bottom style="medium">
        <color theme="4"/>
      </bottom>
      <diagonal/>
    </border>
    <border>
      <left style="thin">
        <color theme="4"/>
      </left>
      <right/>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auto="1"/>
      </left>
      <right/>
      <top/>
      <bottom/>
      <diagonal/>
    </border>
    <border>
      <left/>
      <right style="medium">
        <color theme="4"/>
      </right>
      <top style="medium">
        <color theme="4"/>
      </top>
      <bottom style="medium">
        <color theme="4"/>
      </bottom>
      <diagonal/>
    </border>
    <border>
      <left/>
      <right style="medium">
        <color theme="4"/>
      </right>
      <top style="thin">
        <color auto="1"/>
      </top>
      <bottom/>
      <diagonal/>
    </border>
    <border>
      <left/>
      <right style="thin">
        <color theme="4"/>
      </right>
      <top style="medium">
        <color theme="4"/>
      </top>
      <bottom/>
      <diagonal/>
    </border>
    <border>
      <left style="medium">
        <color theme="4"/>
      </left>
      <right style="medium">
        <color theme="4"/>
      </right>
      <top/>
      <bottom style="medium">
        <color theme="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theme="4"/>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theme="4"/>
      </left>
      <right style="medium">
        <color theme="4"/>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style="medium">
        <color auto="1"/>
      </left>
      <right/>
      <top/>
      <bottom style="thin">
        <color auto="1"/>
      </bottom>
      <diagonal/>
    </border>
    <border>
      <left style="medium">
        <color auto="1"/>
      </left>
      <right/>
      <top style="thin">
        <color auto="1"/>
      </top>
      <bottom/>
      <diagonal/>
    </border>
    <border>
      <left style="medium">
        <color theme="4"/>
      </left>
      <right style="medium">
        <color theme="4"/>
      </right>
      <top/>
      <bottom/>
      <diagonal/>
    </border>
    <border>
      <left style="medium">
        <color theme="4"/>
      </left>
      <right style="medium">
        <color theme="4"/>
      </right>
      <top/>
      <bottom style="thin">
        <color auto="1"/>
      </bottom>
      <diagonal/>
    </border>
    <border>
      <left style="medium">
        <color theme="4"/>
      </left>
      <right style="medium">
        <color theme="4"/>
      </right>
      <top style="thin">
        <color auto="1"/>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bottom style="medium">
        <color indexed="64"/>
      </bottom>
      <diagonal/>
    </border>
    <border>
      <left/>
      <right style="medium">
        <color theme="4"/>
      </right>
      <top/>
      <bottom style="thin">
        <color indexed="64"/>
      </bottom>
      <diagonal/>
    </border>
    <border>
      <left/>
      <right style="medium">
        <color auto="1"/>
      </right>
      <top style="thin">
        <color auto="1"/>
      </top>
      <bottom/>
      <diagonal/>
    </border>
    <border>
      <left style="medium">
        <color theme="4"/>
      </left>
      <right/>
      <top/>
      <bottom style="thin">
        <color auto="1"/>
      </bottom>
      <diagonal/>
    </border>
    <border>
      <left/>
      <right style="medium">
        <color auto="1"/>
      </right>
      <top/>
      <bottom style="thin">
        <color indexed="64"/>
      </bottom>
      <diagonal/>
    </border>
    <border>
      <left/>
      <right style="medium">
        <color rgb="FF0070C0"/>
      </right>
      <top style="thin">
        <color auto="1"/>
      </top>
      <bottom/>
      <diagonal/>
    </border>
    <border>
      <left/>
      <right style="medium">
        <color rgb="FF0070C0"/>
      </right>
      <top/>
      <bottom/>
      <diagonal/>
    </border>
    <border>
      <left/>
      <right style="medium">
        <color rgb="FF0070C0"/>
      </right>
      <top/>
      <bottom style="thin">
        <color auto="1"/>
      </bottom>
      <diagonal/>
    </border>
    <border>
      <left style="medium">
        <color theme="4"/>
      </left>
      <right style="medium">
        <color rgb="FF0070C0"/>
      </right>
      <top/>
      <bottom/>
      <diagonal/>
    </border>
    <border>
      <left style="medium">
        <color theme="4"/>
      </left>
      <right style="medium">
        <color rgb="FF0070C0"/>
      </right>
      <top/>
      <bottom style="thin">
        <color auto="1"/>
      </bottom>
      <diagonal/>
    </border>
    <border>
      <left style="medium">
        <color theme="4"/>
      </left>
      <right style="medium">
        <color rgb="FF0070C0"/>
      </right>
      <top style="thin">
        <color auto="1"/>
      </top>
      <bottom/>
      <diagonal/>
    </border>
    <border>
      <left style="medium">
        <color rgb="FF0070C0"/>
      </left>
      <right style="medium">
        <color rgb="FF0070C0"/>
      </right>
      <top/>
      <bottom style="thin">
        <color indexed="64"/>
      </bottom>
      <diagonal/>
    </border>
    <border>
      <left style="medium">
        <color rgb="FF0070C0"/>
      </left>
      <right style="medium">
        <color rgb="FF0070C0"/>
      </right>
      <top style="thin">
        <color auto="1"/>
      </top>
      <bottom/>
      <diagonal/>
    </border>
    <border>
      <left/>
      <right/>
      <top style="medium">
        <color theme="1"/>
      </top>
      <bottom/>
      <diagonal/>
    </border>
    <border>
      <left style="medium">
        <color theme="1"/>
      </left>
      <right style="medium">
        <color theme="4"/>
      </right>
      <top/>
      <bottom style="medium">
        <color theme="4"/>
      </bottom>
      <diagonal/>
    </border>
    <border>
      <left style="medium">
        <color theme="1"/>
      </left>
      <right/>
      <top style="medium">
        <color theme="1"/>
      </top>
      <bottom style="medium">
        <color theme="1"/>
      </bottom>
      <diagonal/>
    </border>
    <border>
      <left style="medium">
        <color theme="4"/>
      </left>
      <right/>
      <top/>
      <bottom style="thin">
        <color theme="1"/>
      </bottom>
      <diagonal/>
    </border>
    <border>
      <left/>
      <right style="medium">
        <color auto="1"/>
      </right>
      <top/>
      <bottom style="thin">
        <color theme="1"/>
      </bottom>
      <diagonal/>
    </border>
    <border>
      <left style="medium">
        <color rgb="FF0070C0"/>
      </left>
      <right/>
      <top style="thin">
        <color auto="1"/>
      </top>
      <bottom/>
      <diagonal/>
    </border>
    <border>
      <left style="medium">
        <color rgb="FF0070C0"/>
      </left>
      <right/>
      <top/>
      <bottom/>
      <diagonal/>
    </border>
    <border>
      <left style="medium">
        <color theme="4"/>
      </left>
      <right/>
      <top style="thin">
        <color auto="1"/>
      </top>
      <bottom/>
      <diagonal/>
    </border>
    <border>
      <left style="medium">
        <color rgb="FF0070C0"/>
      </left>
      <right/>
      <top/>
      <bottom style="medium">
        <color indexed="64"/>
      </bottom>
      <diagonal/>
    </border>
    <border>
      <left style="medium">
        <color rgb="FF0070C0"/>
      </left>
      <right style="medium">
        <color rgb="FF0070C0"/>
      </right>
      <top/>
      <bottom/>
      <diagonal/>
    </border>
    <border>
      <left style="medium">
        <color rgb="FF0070C0"/>
      </left>
      <right/>
      <top/>
      <bottom style="thin">
        <color indexed="64"/>
      </bottom>
      <diagonal/>
    </border>
    <border>
      <left style="medium">
        <color auto="1"/>
      </left>
      <right style="thin">
        <color indexed="64"/>
      </right>
      <top style="medium">
        <color auto="1"/>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auto="1"/>
      </top>
      <bottom style="thin">
        <color indexed="64"/>
      </bottom>
      <diagonal/>
    </border>
    <border>
      <left style="medium">
        <color theme="4"/>
      </left>
      <right style="medium">
        <color theme="4"/>
      </right>
      <top style="medium">
        <color auto="1"/>
      </top>
      <bottom style="thin">
        <color indexed="64"/>
      </bottom>
      <diagonal/>
    </border>
    <border>
      <left/>
      <right style="medium">
        <color auto="1"/>
      </right>
      <top style="medium">
        <color auto="1"/>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right style="medium">
        <color indexed="64"/>
      </right>
      <top style="thin">
        <color auto="1"/>
      </top>
      <bottom style="thin">
        <color auto="1"/>
      </bottom>
      <diagonal/>
    </border>
    <border>
      <left style="thin">
        <color indexed="64"/>
      </left>
      <right/>
      <top/>
      <bottom style="medium">
        <color indexed="64"/>
      </bottom>
      <diagonal/>
    </border>
    <border>
      <left/>
      <right style="medium">
        <color rgb="FF0070C0"/>
      </right>
      <top/>
      <bottom style="medium">
        <color indexed="64"/>
      </bottom>
      <diagonal/>
    </border>
    <border>
      <left/>
      <right/>
      <top/>
      <bottom style="medium">
        <color rgb="FF0070C0"/>
      </bottom>
      <diagonal/>
    </border>
    <border>
      <left/>
      <right/>
      <top style="medium">
        <color rgb="FF0070C0"/>
      </top>
      <bottom style="medium">
        <color theme="4"/>
      </bottom>
      <diagonal/>
    </border>
    <border>
      <left/>
      <right style="thin">
        <color theme="4"/>
      </right>
      <top style="medium">
        <color rgb="FF0070C0"/>
      </top>
      <bottom style="medium">
        <color theme="4"/>
      </bottom>
      <diagonal/>
    </border>
    <border>
      <left/>
      <right style="medium">
        <color rgb="FF0070C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auto="1"/>
      </top>
      <bottom style="medium">
        <color indexed="64"/>
      </bottom>
      <diagonal/>
    </border>
    <border>
      <left/>
      <right style="thin">
        <color indexed="64"/>
      </right>
      <top style="thin">
        <color auto="1"/>
      </top>
      <bottom style="medium">
        <color indexed="64"/>
      </bottom>
      <diagonal/>
    </border>
    <border>
      <left/>
      <right style="thin">
        <color auto="1"/>
      </right>
      <top style="medium">
        <color indexed="64"/>
      </top>
      <bottom/>
      <diagonal/>
    </border>
    <border>
      <left style="thin">
        <color auto="1"/>
      </left>
      <right/>
      <top style="medium">
        <color indexed="64"/>
      </top>
      <bottom/>
      <diagonal/>
    </border>
    <border>
      <left/>
      <right style="medium">
        <color rgb="FF0070C0"/>
      </right>
      <top style="thin">
        <color indexed="64"/>
      </top>
      <bottom style="medium">
        <color indexed="64"/>
      </bottom>
      <diagonal/>
    </border>
    <border>
      <left style="thin">
        <color auto="1"/>
      </left>
      <right/>
      <top style="thin">
        <color indexed="64"/>
      </top>
      <bottom style="medium">
        <color indexed="64"/>
      </bottom>
      <diagonal/>
    </border>
    <border>
      <left/>
      <right style="medium">
        <color theme="4"/>
      </right>
      <top style="thin">
        <color indexed="64"/>
      </top>
      <bottom style="medium">
        <color indexed="64"/>
      </bottom>
      <diagonal/>
    </border>
    <border>
      <left style="medium">
        <color theme="4"/>
      </left>
      <right style="thin">
        <color indexed="64"/>
      </right>
      <top style="thin">
        <color indexed="64"/>
      </top>
      <bottom style="medium">
        <color indexed="64"/>
      </bottom>
      <diagonal/>
    </border>
  </borders>
  <cellStyleXfs count="9">
    <xf numFmtId="0" fontId="0" fillId="0" borderId="0"/>
    <xf numFmtId="43" fontId="26" fillId="0" borderId="0" applyFont="0" applyFill="0" applyBorder="0" applyAlignment="0" applyProtection="0"/>
    <xf numFmtId="0" fontId="28" fillId="0" borderId="0" applyNumberFormat="0" applyFill="0" applyBorder="0" applyAlignment="0" applyProtection="0">
      <alignment vertical="top"/>
      <protection locked="0"/>
    </xf>
    <xf numFmtId="0" fontId="17" fillId="0" borderId="0"/>
    <xf numFmtId="9" fontId="26" fillId="0" borderId="0" applyFont="0" applyFill="0" applyBorder="0" applyAlignment="0" applyProtection="0"/>
    <xf numFmtId="0" fontId="67" fillId="0" borderId="0" applyNumberFormat="0" applyFill="0" applyBorder="0" applyAlignment="0" applyProtection="0"/>
    <xf numFmtId="43" fontId="72" fillId="0" borderId="0" applyFont="0" applyFill="0" applyBorder="0" applyAlignment="0" applyProtection="0"/>
    <xf numFmtId="9" fontId="72" fillId="0" borderId="0" applyFont="0" applyFill="0" applyBorder="0" applyAlignment="0" applyProtection="0"/>
    <xf numFmtId="0" fontId="75" fillId="0" borderId="0" applyNumberFormat="0" applyFill="0" applyBorder="0" applyAlignment="0" applyProtection="0"/>
  </cellStyleXfs>
  <cellXfs count="1456">
    <xf numFmtId="0" fontId="0" fillId="0" borderId="0" xfId="0"/>
    <xf numFmtId="0" fontId="0" fillId="0" borderId="0" xfId="0" applyAlignment="1">
      <alignment vertical="center"/>
    </xf>
    <xf numFmtId="0" fontId="3" fillId="3" borderId="0" xfId="0" applyFont="1" applyFill="1" applyAlignment="1">
      <alignment vertical="center" wrapText="1"/>
    </xf>
    <xf numFmtId="0" fontId="3" fillId="3" borderId="0" xfId="0" applyFont="1" applyFill="1" applyAlignment="1">
      <alignment horizontal="center" vertical="center" wrapText="1"/>
    </xf>
    <xf numFmtId="0" fontId="5" fillId="0" borderId="0" xfId="0" applyFont="1"/>
    <xf numFmtId="0" fontId="5" fillId="3" borderId="0" xfId="0" applyFont="1" applyFill="1" applyAlignment="1">
      <alignment vertical="center"/>
    </xf>
    <xf numFmtId="0" fontId="5" fillId="4" borderId="0" xfId="0" applyFont="1" applyFill="1" applyAlignment="1">
      <alignment vertical="center" wrapText="1"/>
    </xf>
    <xf numFmtId="164" fontId="5" fillId="4" borderId="0" xfId="0" applyNumberFormat="1" applyFont="1" applyFill="1" applyAlignment="1">
      <alignment vertical="center"/>
    </xf>
    <xf numFmtId="0" fontId="7" fillId="4" borderId="0" xfId="0" applyFont="1" applyFill="1" applyAlignment="1">
      <alignment vertical="center"/>
    </xf>
    <xf numFmtId="0" fontId="3" fillId="3" borderId="0" xfId="0" applyFont="1" applyFill="1" applyAlignment="1">
      <alignment horizontal="left" vertical="center" wrapText="1"/>
    </xf>
    <xf numFmtId="0" fontId="5" fillId="0" borderId="0" xfId="0" applyFont="1" applyAlignment="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0" fillId="0" borderId="0" xfId="0" applyFill="1"/>
    <xf numFmtId="0" fontId="0" fillId="0" borderId="0" xfId="0" applyFill="1" applyBorder="1"/>
    <xf numFmtId="0" fontId="6" fillId="3" borderId="2" xfId="0" applyFont="1" applyFill="1" applyBorder="1" applyAlignment="1">
      <alignment horizontal="center" vertical="center" wrapText="1"/>
    </xf>
    <xf numFmtId="0" fontId="5" fillId="6" borderId="2" xfId="0" applyFont="1" applyFill="1" applyBorder="1" applyAlignment="1">
      <alignment horizontal="center" vertical="center"/>
    </xf>
    <xf numFmtId="0" fontId="9" fillId="3" borderId="0" xfId="0" applyFont="1" applyFill="1" applyAlignment="1">
      <alignment vertical="center" wrapText="1"/>
    </xf>
    <xf numFmtId="0" fontId="3" fillId="5" borderId="3" xfId="0" applyFont="1" applyFill="1" applyBorder="1" applyAlignment="1">
      <alignment vertical="center" wrapText="1"/>
    </xf>
    <xf numFmtId="0" fontId="3" fillId="5" borderId="4" xfId="0" applyFont="1" applyFill="1" applyBorder="1" applyAlignment="1">
      <alignment horizontal="center" vertical="center" wrapText="1"/>
    </xf>
    <xf numFmtId="0" fontId="0" fillId="0" borderId="0" xfId="0" applyFill="1" applyBorder="1" applyAlignment="1">
      <alignment wrapText="1"/>
    </xf>
    <xf numFmtId="0" fontId="0" fillId="0" borderId="0" xfId="0" applyAlignment="1">
      <alignment horizontal="center"/>
    </xf>
    <xf numFmtId="0" fontId="0" fillId="0" borderId="0" xfId="0" applyAlignment="1">
      <alignment horizontal="right"/>
    </xf>
    <xf numFmtId="0" fontId="17" fillId="0" borderId="0" xfId="0" applyFont="1"/>
    <xf numFmtId="0" fontId="3" fillId="4" borderId="0" xfId="0" applyFont="1" applyFill="1" applyAlignment="1">
      <alignment horizontal="left" vertical="center" wrapText="1"/>
    </xf>
    <xf numFmtId="0" fontId="7" fillId="4" borderId="0" xfId="0" applyFont="1" applyFill="1" applyBorder="1" applyAlignment="1">
      <alignment vertical="center"/>
    </xf>
    <xf numFmtId="0" fontId="7" fillId="4" borderId="0" xfId="0" applyFont="1" applyFill="1" applyAlignment="1">
      <alignment vertical="center" wrapText="1"/>
    </xf>
    <xf numFmtId="165" fontId="9" fillId="4" borderId="0" xfId="0" applyNumberFormat="1" applyFont="1" applyFill="1" applyAlignment="1">
      <alignment horizontal="left" vertical="center" wrapText="1"/>
    </xf>
    <xf numFmtId="0" fontId="7" fillId="4" borderId="0" xfId="0" applyFont="1" applyFill="1" applyBorder="1" applyAlignment="1">
      <alignment vertical="center" wrapText="1"/>
    </xf>
    <xf numFmtId="0" fontId="5" fillId="4" borderId="0" xfId="0" applyFont="1" applyFill="1"/>
    <xf numFmtId="0" fontId="9" fillId="4" borderId="0" xfId="0" applyFont="1" applyFill="1"/>
    <xf numFmtId="0" fontId="7" fillId="4" borderId="0" xfId="0" applyFont="1" applyFill="1"/>
    <xf numFmtId="0" fontId="5" fillId="0" borderId="0" xfId="0" applyFont="1" applyFill="1" applyBorder="1" applyAlignment="1">
      <alignment vertical="center" wrapText="1"/>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9" fillId="4" borderId="0" xfId="0" applyFont="1" applyFill="1" applyAlignment="1">
      <alignment horizontal="center" vertical="center"/>
    </xf>
    <xf numFmtId="0" fontId="9" fillId="4" borderId="0" xfId="0" applyFont="1" applyFill="1" applyAlignment="1">
      <alignment vertical="center" wrapText="1"/>
    </xf>
    <xf numFmtId="0" fontId="3" fillId="4" borderId="0" xfId="0" applyFont="1" applyFill="1" applyAlignment="1">
      <alignment horizontal="center" vertical="center" wrapText="1"/>
    </xf>
    <xf numFmtId="0" fontId="3" fillId="4" borderId="0" xfId="0" applyFont="1" applyFill="1" applyAlignment="1">
      <alignment vertical="center" wrapText="1"/>
    </xf>
    <xf numFmtId="0" fontId="5" fillId="4" borderId="0" xfId="0" applyFont="1" applyFill="1" applyBorder="1" applyAlignment="1">
      <alignment horizontal="left" vertical="center"/>
    </xf>
    <xf numFmtId="0" fontId="9" fillId="6" borderId="2" xfId="0" applyFont="1" applyFill="1" applyBorder="1" applyAlignment="1">
      <alignment horizontal="center" vertical="center"/>
    </xf>
    <xf numFmtId="0" fontId="5" fillId="0" borderId="0" xfId="0" applyFont="1" applyFill="1" applyBorder="1"/>
    <xf numFmtId="0" fontId="5" fillId="3" borderId="0" xfId="0" applyFont="1" applyFill="1" applyBorder="1" applyAlignment="1">
      <alignment horizontal="center" vertical="center"/>
    </xf>
    <xf numFmtId="0" fontId="5" fillId="6" borderId="6" xfId="0" applyFont="1" applyFill="1" applyBorder="1"/>
    <xf numFmtId="0" fontId="23" fillId="0" borderId="0" xfId="0" applyFont="1"/>
    <xf numFmtId="0" fontId="24" fillId="0" borderId="0" xfId="0" applyFont="1"/>
    <xf numFmtId="164" fontId="24" fillId="0" borderId="0" xfId="0" applyNumberFormat="1" applyFont="1"/>
    <xf numFmtId="0" fontId="9" fillId="4" borderId="0" xfId="0" applyFont="1" applyFill="1" applyAlignment="1">
      <alignment vertical="center"/>
    </xf>
    <xf numFmtId="0" fontId="4" fillId="4" borderId="0" xfId="0" applyFont="1" applyFill="1" applyBorder="1" applyAlignment="1">
      <alignment horizontal="center" vertical="center"/>
    </xf>
    <xf numFmtId="0" fontId="6" fillId="4" borderId="0" xfId="0" applyFont="1" applyFill="1" applyBorder="1" applyAlignment="1">
      <alignment horizontal="center" vertical="center" wrapText="1"/>
    </xf>
    <xf numFmtId="0" fontId="17" fillId="0" borderId="0" xfId="0" applyFont="1" applyFill="1" applyBorder="1" applyAlignment="1">
      <alignment vertical="top"/>
    </xf>
    <xf numFmtId="0" fontId="0" fillId="0" borderId="0" xfId="0" applyBorder="1"/>
    <xf numFmtId="0" fontId="17" fillId="0" borderId="0" xfId="0" applyFont="1" applyBorder="1" applyAlignment="1">
      <alignment vertical="top"/>
    </xf>
    <xf numFmtId="167" fontId="18" fillId="0" borderId="0" xfId="1" applyNumberFormat="1" applyFont="1" applyFill="1" applyBorder="1" applyAlignment="1">
      <alignment vertical="top"/>
    </xf>
    <xf numFmtId="0" fontId="10" fillId="0" borderId="0" xfId="0" applyFont="1" applyAlignment="1">
      <alignment wrapText="1"/>
    </xf>
    <xf numFmtId="0" fontId="5" fillId="0" borderId="0" xfId="0" applyFont="1" applyFill="1" applyAlignment="1">
      <alignment horizontal="left" vertical="center"/>
    </xf>
    <xf numFmtId="0" fontId="5" fillId="0" borderId="0" xfId="0" applyFont="1" applyFill="1" applyBorder="1" applyAlignment="1">
      <alignment horizontal="right"/>
    </xf>
    <xf numFmtId="167" fontId="9" fillId="4" borderId="0" xfId="1" applyNumberFormat="1" applyFont="1" applyFill="1" applyBorder="1" applyAlignment="1">
      <alignment horizontal="left" vertical="center"/>
    </xf>
    <xf numFmtId="0" fontId="7" fillId="4" borderId="0" xfId="0" applyFont="1" applyFill="1" applyBorder="1" applyAlignment="1">
      <alignment horizontal="left" vertical="center"/>
    </xf>
    <xf numFmtId="1" fontId="9" fillId="4" borderId="0" xfId="1" applyNumberFormat="1" applyFont="1" applyFill="1" applyBorder="1" applyAlignment="1">
      <alignment horizontal="left" vertical="center"/>
    </xf>
    <xf numFmtId="0" fontId="9" fillId="4" borderId="0" xfId="0" applyFont="1" applyFill="1" applyBorder="1" applyAlignment="1" applyProtection="1">
      <alignment horizontal="left" vertical="center"/>
      <protection locked="0"/>
    </xf>
    <xf numFmtId="1" fontId="9" fillId="4" borderId="0" xfId="0" applyNumberFormat="1" applyFont="1" applyFill="1" applyBorder="1" applyAlignment="1">
      <alignment horizontal="left" vertical="center"/>
    </xf>
    <xf numFmtId="164" fontId="9" fillId="4" borderId="0" xfId="0" applyNumberFormat="1" applyFont="1" applyFill="1" applyBorder="1" applyAlignment="1">
      <alignment horizontal="right" vertical="center"/>
    </xf>
    <xf numFmtId="2" fontId="9" fillId="4" borderId="0" xfId="0" applyNumberFormat="1" applyFont="1" applyFill="1" applyBorder="1" applyAlignment="1">
      <alignment horizontal="right" vertical="center"/>
    </xf>
    <xf numFmtId="0" fontId="9" fillId="4" borderId="0" xfId="0" applyNumberFormat="1" applyFont="1" applyFill="1" applyBorder="1" applyAlignment="1">
      <alignment horizontal="right" vertical="center"/>
    </xf>
    <xf numFmtId="0" fontId="5" fillId="4" borderId="0" xfId="0" applyFont="1" applyFill="1" applyAlignment="1">
      <alignment horizontal="left" vertical="center" wrapText="1"/>
    </xf>
    <xf numFmtId="0" fontId="5" fillId="4" borderId="0" xfId="0" applyFont="1" applyFill="1" applyAlignment="1">
      <alignment horizontal="left" vertical="center"/>
    </xf>
    <xf numFmtId="1" fontId="9" fillId="4" borderId="0" xfId="0" applyNumberFormat="1" applyFont="1" applyFill="1" applyBorder="1" applyAlignment="1">
      <alignment vertical="center"/>
    </xf>
    <xf numFmtId="167" fontId="9" fillId="4" borderId="0" xfId="1" applyNumberFormat="1" applyFont="1" applyFill="1" applyBorder="1" applyAlignment="1">
      <alignment vertical="center"/>
    </xf>
    <xf numFmtId="167" fontId="9" fillId="4" borderId="0" xfId="0" applyNumberFormat="1" applyFont="1" applyFill="1" applyBorder="1" applyAlignment="1">
      <alignment vertical="center"/>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vertical="center" wrapText="1"/>
    </xf>
    <xf numFmtId="0" fontId="6" fillId="4" borderId="0" xfId="0" applyFont="1" applyFill="1" applyAlignment="1">
      <alignment horizontal="center" vertical="center" wrapText="1"/>
    </xf>
    <xf numFmtId="0" fontId="6" fillId="4" borderId="0" xfId="0" applyFont="1" applyFill="1" applyAlignment="1">
      <alignment horizontal="left" vertical="center" wrapText="1"/>
    </xf>
    <xf numFmtId="2" fontId="9" fillId="4" borderId="0" xfId="0" applyNumberFormat="1" applyFont="1" applyFill="1" applyBorder="1" applyAlignment="1">
      <alignment vertical="center"/>
    </xf>
    <xf numFmtId="164" fontId="17" fillId="0" borderId="0" xfId="0" applyNumberFormat="1" applyFont="1" applyBorder="1" applyAlignment="1">
      <alignment vertical="top"/>
    </xf>
    <xf numFmtId="164" fontId="17" fillId="0" borderId="0" xfId="0" applyNumberFormat="1" applyFont="1" applyFill="1" applyBorder="1" applyAlignment="1">
      <alignment vertical="top"/>
    </xf>
    <xf numFmtId="2" fontId="17" fillId="0" borderId="0" xfId="0" applyNumberFormat="1" applyFont="1" applyFill="1" applyBorder="1" applyAlignment="1">
      <alignment vertical="top"/>
    </xf>
    <xf numFmtId="0" fontId="17" fillId="0" borderId="0" xfId="0" applyFont="1" applyFill="1" applyBorder="1" applyAlignment="1">
      <alignment horizontal="left" vertical="top"/>
    </xf>
    <xf numFmtId="2" fontId="17" fillId="0" borderId="0" xfId="0" applyNumberFormat="1" applyFont="1" applyFill="1" applyBorder="1" applyAlignment="1">
      <alignment horizontal="right" vertical="top"/>
    </xf>
    <xf numFmtId="1" fontId="18" fillId="0" borderId="0" xfId="0" applyNumberFormat="1" applyFont="1" applyBorder="1" applyAlignment="1">
      <alignment vertical="top"/>
    </xf>
    <xf numFmtId="0" fontId="8" fillId="0" borderId="0" xfId="0" applyFont="1" applyBorder="1"/>
    <xf numFmtId="0" fontId="14" fillId="4" borderId="0" xfId="0" applyFont="1" applyFill="1" applyBorder="1" applyAlignment="1">
      <alignment vertical="center" wrapText="1"/>
    </xf>
    <xf numFmtId="164" fontId="9" fillId="4" borderId="0" xfId="0" applyNumberFormat="1" applyFont="1" applyFill="1" applyBorder="1" applyAlignment="1">
      <alignment horizontal="left" vertical="center"/>
    </xf>
    <xf numFmtId="0" fontId="14" fillId="4" borderId="0" xfId="0" applyFont="1" applyFill="1" applyBorder="1" applyAlignment="1">
      <alignment horizontal="center" vertical="center" wrapText="1"/>
    </xf>
    <xf numFmtId="2" fontId="9" fillId="4" borderId="0" xfId="0" applyNumberFormat="1" applyFont="1" applyFill="1" applyBorder="1" applyAlignment="1">
      <alignment horizontal="left" vertical="center"/>
    </xf>
    <xf numFmtId="0" fontId="9" fillId="4" borderId="0" xfId="0" applyFont="1" applyFill="1" applyBorder="1" applyAlignment="1">
      <alignment horizontal="left" vertical="center" wrapText="1"/>
    </xf>
    <xf numFmtId="164" fontId="9" fillId="4" borderId="0" xfId="0" applyNumberFormat="1" applyFont="1" applyFill="1" applyBorder="1" applyAlignment="1">
      <alignment vertical="center"/>
    </xf>
    <xf numFmtId="0" fontId="9" fillId="4" borderId="0" xfId="0" applyFont="1" applyFill="1" applyAlignment="1">
      <alignment horizontal="center" vertical="center" wrapText="1"/>
    </xf>
    <xf numFmtId="0" fontId="9" fillId="4" borderId="0" xfId="0" applyFont="1" applyFill="1" applyAlignment="1">
      <alignment horizontal="left" vertical="center" wrapText="1"/>
    </xf>
    <xf numFmtId="4" fontId="9" fillId="4" borderId="0" xfId="0" applyNumberFormat="1" applyFont="1" applyFill="1" applyBorder="1" applyAlignment="1">
      <alignment horizontal="right" vertical="center"/>
    </xf>
    <xf numFmtId="4" fontId="9" fillId="4" borderId="0" xfId="0" applyNumberFormat="1" applyFont="1" applyFill="1" applyAlignment="1">
      <alignment horizontal="right" vertical="center"/>
    </xf>
    <xf numFmtId="0" fontId="0" fillId="0" borderId="0" xfId="0" applyNumberFormat="1"/>
    <xf numFmtId="0" fontId="5" fillId="4" borderId="0" xfId="0" applyNumberFormat="1" applyFont="1" applyFill="1" applyBorder="1" applyAlignment="1">
      <alignment horizontal="right" vertical="center"/>
    </xf>
    <xf numFmtId="9" fontId="5" fillId="4" borderId="0" xfId="0" applyNumberFormat="1" applyFont="1" applyFill="1" applyAlignment="1">
      <alignment horizontal="center" vertical="center" wrapText="1"/>
    </xf>
    <xf numFmtId="0" fontId="5" fillId="4" borderId="0" xfId="0" applyFont="1" applyFill="1" applyBorder="1" applyAlignment="1">
      <alignment vertical="center" wrapText="1"/>
    </xf>
    <xf numFmtId="0" fontId="14" fillId="4" borderId="0" xfId="0" applyFont="1" applyFill="1" applyAlignment="1">
      <alignment vertical="center" wrapText="1"/>
    </xf>
    <xf numFmtId="0" fontId="9" fillId="4" borderId="0" xfId="0" applyFont="1" applyFill="1" applyBorder="1" applyAlignment="1">
      <alignment horizontal="center" vertical="center" wrapText="1"/>
    </xf>
    <xf numFmtId="0" fontId="14" fillId="4" borderId="0" xfId="0" applyFont="1" applyFill="1" applyAlignment="1">
      <alignment horizontal="center" vertical="center" wrapText="1"/>
    </xf>
    <xf numFmtId="0" fontId="7" fillId="0" borderId="0" xfId="0" applyFont="1" applyFill="1" applyAlignment="1">
      <alignment vertical="center" wrapText="1"/>
    </xf>
    <xf numFmtId="9" fontId="9" fillId="4" borderId="0" xfId="0" applyNumberFormat="1" applyFont="1" applyFill="1" applyAlignment="1">
      <alignment horizontal="center" vertical="center" wrapText="1"/>
    </xf>
    <xf numFmtId="0" fontId="30" fillId="4" borderId="0" xfId="0" applyFont="1" applyFill="1" applyAlignment="1">
      <alignment vertical="center"/>
    </xf>
    <xf numFmtId="0" fontId="9" fillId="4" borderId="0" xfId="0" applyFont="1" applyFill="1" applyAlignment="1">
      <alignment horizontal="left" vertical="center"/>
    </xf>
    <xf numFmtId="164" fontId="5" fillId="4" borderId="0" xfId="0" applyNumberFormat="1" applyFont="1" applyFill="1" applyBorder="1" applyAlignment="1">
      <alignment vertical="center"/>
    </xf>
    <xf numFmtId="0" fontId="7" fillId="4" borderId="0" xfId="0" applyFont="1" applyFill="1" applyBorder="1" applyAlignment="1">
      <alignment horizontal="center" vertical="center" wrapText="1"/>
    </xf>
    <xf numFmtId="0" fontId="9" fillId="4" borderId="0" xfId="0" applyFont="1" applyFill="1" applyBorder="1" applyAlignment="1" applyProtection="1">
      <alignment vertical="center"/>
      <protection locked="0"/>
    </xf>
    <xf numFmtId="0" fontId="9" fillId="4" borderId="0" xfId="0" applyFont="1" applyFill="1" applyAlignment="1" applyProtection="1">
      <alignment vertical="center"/>
      <protection locked="0"/>
    </xf>
    <xf numFmtId="1" fontId="9" fillId="4" borderId="0" xfId="0" applyNumberFormat="1" applyFont="1" applyFill="1" applyAlignment="1">
      <alignment vertical="center"/>
    </xf>
    <xf numFmtId="0" fontId="16" fillId="0" borderId="0" xfId="0" applyFont="1" applyAlignment="1">
      <alignment horizontal="center"/>
    </xf>
    <xf numFmtId="0" fontId="30" fillId="4" borderId="0" xfId="0" applyFont="1" applyFill="1" applyBorder="1" applyAlignment="1">
      <alignment vertical="center"/>
    </xf>
    <xf numFmtId="0" fontId="30" fillId="4" borderId="0" xfId="0" applyFont="1" applyFill="1" applyAlignment="1">
      <alignment horizontal="left" vertical="center"/>
    </xf>
    <xf numFmtId="164" fontId="5" fillId="6" borderId="2" xfId="0" applyNumberFormat="1" applyFont="1" applyFill="1" applyBorder="1" applyAlignment="1">
      <alignment horizontal="right" vertical="center"/>
    </xf>
    <xf numFmtId="0" fontId="5" fillId="4" borderId="0" xfId="0" applyFont="1" applyFill="1" applyBorder="1" applyAlignment="1" applyProtection="1">
      <alignment horizontal="right" vertical="center"/>
    </xf>
    <xf numFmtId="0" fontId="4" fillId="4" borderId="0" xfId="0" applyFont="1" applyFill="1" applyBorder="1" applyAlignment="1">
      <alignment vertical="center"/>
    </xf>
    <xf numFmtId="0" fontId="5" fillId="2" borderId="1" xfId="0" applyFont="1" applyFill="1" applyBorder="1" applyAlignment="1" applyProtection="1">
      <alignment horizontal="center" vertical="center"/>
      <protection locked="0"/>
    </xf>
    <xf numFmtId="0" fontId="7" fillId="4" borderId="0" xfId="0" applyFont="1" applyFill="1" applyAlignment="1">
      <alignment horizontal="left" vertical="center"/>
    </xf>
    <xf numFmtId="0" fontId="5" fillId="3" borderId="2" xfId="0" applyFont="1" applyFill="1" applyBorder="1" applyAlignment="1">
      <alignment horizontal="center" vertical="center" wrapText="1"/>
    </xf>
    <xf numFmtId="0" fontId="2" fillId="0" borderId="0" xfId="0" applyFont="1" applyFill="1"/>
    <xf numFmtId="0" fontId="0" fillId="0" borderId="0" xfId="0" applyFill="1" applyAlignment="1">
      <alignment vertical="center"/>
    </xf>
    <xf numFmtId="0" fontId="6" fillId="4" borderId="0" xfId="0" applyFont="1" applyFill="1" applyBorder="1" applyAlignment="1">
      <alignment horizontal="left" vertical="center"/>
    </xf>
    <xf numFmtId="0" fontId="9" fillId="4" borderId="0" xfId="0" applyFont="1" applyFill="1" applyBorder="1" applyAlignment="1">
      <alignment horizontal="center" vertical="center"/>
    </xf>
    <xf numFmtId="165" fontId="9" fillId="4" borderId="0" xfId="0" applyNumberFormat="1" applyFont="1" applyFill="1" applyBorder="1" applyAlignment="1">
      <alignment horizontal="left" vertical="center" wrapText="1"/>
    </xf>
    <xf numFmtId="0" fontId="9" fillId="4" borderId="5" xfId="0" applyFont="1" applyFill="1" applyBorder="1" applyAlignment="1">
      <alignment vertical="center"/>
    </xf>
    <xf numFmtId="0" fontId="9" fillId="4" borderId="5" xfId="0" applyFont="1" applyFill="1" applyBorder="1" applyAlignment="1">
      <alignment horizontal="center" vertical="center"/>
    </xf>
    <xf numFmtId="0" fontId="5" fillId="4" borderId="0" xfId="0" applyFont="1" applyFill="1" applyBorder="1" applyAlignment="1">
      <alignment horizontal="center" vertical="center"/>
    </xf>
    <xf numFmtId="0" fontId="9" fillId="4" borderId="0" xfId="0" applyFont="1" applyFill="1" applyBorder="1" applyAlignment="1" applyProtection="1">
      <alignment horizontal="right" vertical="center" wrapText="1"/>
    </xf>
    <xf numFmtId="0" fontId="5" fillId="6" borderId="6" xfId="0" applyFont="1" applyFill="1" applyBorder="1" applyAlignment="1">
      <alignment vertical="center"/>
    </xf>
    <xf numFmtId="0" fontId="7" fillId="0" borderId="0" xfId="0" applyFont="1" applyFill="1" applyAlignment="1">
      <alignment vertical="center"/>
    </xf>
    <xf numFmtId="0" fontId="5" fillId="5" borderId="6" xfId="0" applyFont="1" applyFill="1" applyBorder="1" applyAlignment="1">
      <alignment vertical="center"/>
    </xf>
    <xf numFmtId="0" fontId="5" fillId="6" borderId="6" xfId="0" applyFont="1" applyFill="1" applyBorder="1" applyAlignment="1">
      <alignment vertical="center" wrapText="1"/>
    </xf>
    <xf numFmtId="0" fontId="9" fillId="6" borderId="6" xfId="0" applyFont="1" applyFill="1" applyBorder="1" applyAlignment="1">
      <alignment vertical="center"/>
    </xf>
    <xf numFmtId="0" fontId="5" fillId="6" borderId="6" xfId="0" applyFont="1" applyFill="1" applyBorder="1" applyAlignment="1">
      <alignment horizontal="left" vertical="center"/>
    </xf>
    <xf numFmtId="0" fontId="9" fillId="0" borderId="0" xfId="0" applyFont="1" applyAlignment="1">
      <alignment vertical="center"/>
    </xf>
    <xf numFmtId="0" fontId="5" fillId="0" borderId="0" xfId="0" applyFont="1" applyBorder="1" applyAlignment="1">
      <alignment vertical="center"/>
    </xf>
    <xf numFmtId="9" fontId="5" fillId="6" borderId="6" xfId="0" applyNumberFormat="1" applyFont="1" applyFill="1" applyBorder="1" applyAlignment="1">
      <alignment vertical="center"/>
    </xf>
    <xf numFmtId="0" fontId="9" fillId="6" borderId="6" xfId="0" applyFont="1" applyFill="1" applyBorder="1" applyAlignment="1">
      <alignment vertical="center" wrapText="1"/>
    </xf>
    <xf numFmtId="1" fontId="9" fillId="4" borderId="0" xfId="0" applyNumberFormat="1" applyFont="1" applyFill="1" applyAlignment="1">
      <alignment horizontal="left" vertical="center"/>
    </xf>
    <xf numFmtId="0" fontId="9" fillId="4" borderId="0" xfId="0" applyFont="1" applyFill="1" applyAlignment="1" applyProtection="1">
      <alignment horizontal="left" vertical="center"/>
      <protection locked="0"/>
    </xf>
    <xf numFmtId="0" fontId="9" fillId="4" borderId="0" xfId="0" applyFont="1" applyFill="1" applyAlignment="1" applyProtection="1">
      <alignment horizontal="left" vertical="center" wrapText="1"/>
      <protection locked="0"/>
    </xf>
    <xf numFmtId="0" fontId="9" fillId="4" borderId="0" xfId="0" applyFont="1" applyFill="1" applyAlignment="1" applyProtection="1">
      <alignment vertical="center" wrapText="1"/>
      <protection locked="0"/>
    </xf>
    <xf numFmtId="167" fontId="6" fillId="4" borderId="0" xfId="1" applyNumberFormat="1" applyFont="1" applyFill="1" applyBorder="1" applyAlignment="1">
      <alignment horizontal="left" vertical="center"/>
    </xf>
    <xf numFmtId="0" fontId="9" fillId="3" borderId="0" xfId="0" applyFont="1" applyFill="1" applyBorder="1" applyAlignment="1">
      <alignment horizontal="left" vertical="center"/>
    </xf>
    <xf numFmtId="0" fontId="7" fillId="3" borderId="0" xfId="0" applyFont="1" applyFill="1" applyAlignment="1">
      <alignment vertical="center"/>
    </xf>
    <xf numFmtId="0" fontId="33" fillId="4" borderId="0" xfId="0" applyFont="1" applyFill="1" applyBorder="1" applyAlignment="1">
      <alignment vertical="center" wrapText="1"/>
    </xf>
    <xf numFmtId="0" fontId="33" fillId="4" borderId="0" xfId="0" applyFont="1" applyFill="1" applyBorder="1" applyAlignment="1">
      <alignment vertical="center"/>
    </xf>
    <xf numFmtId="0" fontId="0" fillId="0" borderId="0" xfId="0" applyFont="1"/>
    <xf numFmtId="172" fontId="9" fillId="4" borderId="0" xfId="0" applyNumberFormat="1" applyFont="1" applyFill="1" applyBorder="1" applyAlignment="1">
      <alignment horizontal="right" vertical="center" wrapText="1"/>
    </xf>
    <xf numFmtId="168" fontId="9" fillId="4" borderId="0" xfId="0" applyNumberFormat="1" applyFont="1" applyFill="1" applyBorder="1" applyAlignment="1">
      <alignment vertical="center"/>
    </xf>
    <xf numFmtId="0" fontId="9" fillId="6" borderId="6" xfId="0" applyFont="1" applyFill="1" applyBorder="1" applyAlignment="1">
      <alignment horizontal="left" vertical="center"/>
    </xf>
    <xf numFmtId="0" fontId="14" fillId="3" borderId="0" xfId="0" applyFont="1" applyFill="1" applyAlignment="1">
      <alignment vertical="center" wrapText="1"/>
    </xf>
    <xf numFmtId="0" fontId="6" fillId="5" borderId="3" xfId="0" applyFont="1" applyFill="1" applyBorder="1" applyAlignment="1">
      <alignment horizontal="left" vertical="center" wrapText="1"/>
    </xf>
    <xf numFmtId="0" fontId="6" fillId="5" borderId="4" xfId="0" applyFont="1" applyFill="1" applyBorder="1" applyAlignment="1">
      <alignment horizontal="center" vertical="center" wrapText="1"/>
    </xf>
    <xf numFmtId="0" fontId="14" fillId="6" borderId="6" xfId="0" applyFont="1" applyFill="1" applyBorder="1" applyAlignment="1">
      <alignment vertical="center" wrapText="1"/>
    </xf>
    <xf numFmtId="0" fontId="14" fillId="6" borderId="2" xfId="0" applyFont="1" applyFill="1" applyBorder="1" applyAlignment="1">
      <alignment horizontal="center" vertical="center" wrapText="1"/>
    </xf>
    <xf numFmtId="0" fontId="14" fillId="3" borderId="0" xfId="0" applyFont="1" applyFill="1" applyAlignment="1">
      <alignment horizontal="center" vertical="center" wrapText="1"/>
    </xf>
    <xf numFmtId="0" fontId="5" fillId="6" borderId="6" xfId="0" applyFont="1" applyFill="1" applyBorder="1" applyAlignment="1">
      <alignment horizontal="left" vertical="center" wrapText="1"/>
    </xf>
    <xf numFmtId="9" fontId="5" fillId="6" borderId="2"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5" fillId="0" borderId="0" xfId="0" applyFont="1" applyFill="1" applyBorder="1"/>
    <xf numFmtId="1" fontId="9" fillId="4" borderId="0" xfId="0" applyNumberFormat="1" applyFont="1" applyFill="1" applyBorder="1" applyAlignment="1" applyProtection="1">
      <alignment horizontal="right" vertical="center"/>
    </xf>
    <xf numFmtId="0" fontId="9" fillId="4" borderId="0" xfId="0" applyNumberFormat="1" applyFont="1" applyFill="1" applyBorder="1" applyAlignment="1">
      <alignment horizontal="center" vertical="center" wrapText="1"/>
    </xf>
    <xf numFmtId="167" fontId="9" fillId="6" borderId="6" xfId="1" applyNumberFormat="1" applyFont="1" applyFill="1" applyBorder="1" applyAlignment="1">
      <alignment vertical="center"/>
    </xf>
    <xf numFmtId="0" fontId="4" fillId="0" borderId="0" xfId="0" applyFont="1" applyFill="1" applyBorder="1" applyAlignment="1">
      <alignment vertical="center"/>
    </xf>
    <xf numFmtId="0" fontId="2" fillId="0" borderId="0" xfId="0" applyFont="1" applyFill="1" applyAlignment="1">
      <alignment wrapText="1"/>
    </xf>
    <xf numFmtId="0" fontId="5" fillId="4" borderId="0" xfId="0" applyFont="1" applyFill="1" applyAlignment="1" applyProtection="1">
      <alignment vertical="center"/>
      <protection locked="0"/>
    </xf>
    <xf numFmtId="0" fontId="0" fillId="0" borderId="0" xfId="0" applyFill="1" applyProtection="1">
      <protection locked="0"/>
    </xf>
    <xf numFmtId="0" fontId="0" fillId="0" borderId="0" xfId="0" applyProtection="1">
      <protection locked="0"/>
    </xf>
    <xf numFmtId="0" fontId="0" fillId="4" borderId="0" xfId="0" applyFill="1" applyAlignment="1">
      <alignment vertical="center"/>
    </xf>
    <xf numFmtId="168" fontId="9" fillId="4" borderId="0" xfId="1" applyNumberFormat="1" applyFont="1" applyFill="1" applyBorder="1" applyAlignment="1">
      <alignment vertical="center"/>
    </xf>
    <xf numFmtId="0" fontId="6" fillId="4" borderId="0" xfId="0" applyFont="1" applyFill="1" applyAlignment="1">
      <alignment vertical="center"/>
    </xf>
    <xf numFmtId="0" fontId="2" fillId="0" borderId="0" xfId="0" applyFont="1" applyFill="1" applyAlignment="1">
      <alignment vertical="center"/>
    </xf>
    <xf numFmtId="0" fontId="19" fillId="4" borderId="0" xfId="0" applyFont="1" applyFill="1" applyAlignment="1">
      <alignment vertical="center"/>
    </xf>
    <xf numFmtId="0" fontId="19" fillId="4" borderId="0" xfId="0" applyFont="1" applyFill="1" applyAlignment="1">
      <alignment vertical="center" wrapText="1"/>
    </xf>
    <xf numFmtId="0" fontId="6" fillId="4" borderId="5" xfId="0" applyFont="1" applyFill="1" applyBorder="1" applyAlignment="1">
      <alignment horizontal="center" vertical="center"/>
    </xf>
    <xf numFmtId="0" fontId="9" fillId="4" borderId="2" xfId="0" applyFont="1" applyFill="1" applyBorder="1" applyAlignment="1">
      <alignment horizontal="center" vertical="center"/>
    </xf>
    <xf numFmtId="2" fontId="9" fillId="4" borderId="0" xfId="0" applyNumberFormat="1" applyFont="1" applyFill="1" applyBorder="1" applyAlignment="1" applyProtection="1">
      <alignment horizontal="right" vertical="center"/>
    </xf>
    <xf numFmtId="0" fontId="5" fillId="4" borderId="0" xfId="0" applyFont="1" applyFill="1" applyBorder="1" applyAlignment="1">
      <alignment horizontal="left"/>
    </xf>
    <xf numFmtId="0" fontId="9" fillId="4" borderId="0" xfId="0" applyNumberFormat="1" applyFont="1" applyFill="1" applyAlignment="1">
      <alignment horizontal="center" vertical="center"/>
    </xf>
    <xf numFmtId="0" fontId="9" fillId="3" borderId="0" xfId="0" applyFont="1" applyFill="1" applyBorder="1" applyAlignment="1">
      <alignment horizontal="center" vertical="center"/>
    </xf>
    <xf numFmtId="0" fontId="6" fillId="5" borderId="3" xfId="0" applyFont="1" applyFill="1" applyBorder="1" applyAlignment="1">
      <alignment vertical="center" wrapText="1"/>
    </xf>
    <xf numFmtId="0" fontId="9" fillId="4" borderId="0" xfId="0" applyNumberFormat="1" applyFont="1" applyFill="1" applyBorder="1" applyAlignment="1">
      <alignment horizontal="right" vertical="center" wrapText="1"/>
    </xf>
    <xf numFmtId="167" fontId="9" fillId="4" borderId="8" xfId="1" applyNumberFormat="1" applyFont="1" applyFill="1" applyBorder="1" applyAlignment="1">
      <alignment horizontal="left" vertical="center"/>
    </xf>
    <xf numFmtId="0" fontId="9" fillId="2" borderId="1" xfId="1" applyNumberFormat="1" applyFont="1" applyFill="1" applyBorder="1" applyAlignment="1" applyProtection="1">
      <alignment horizontal="right" vertical="center"/>
      <protection locked="0"/>
    </xf>
    <xf numFmtId="0" fontId="30" fillId="0" borderId="0" xfId="0" applyFont="1" applyFill="1" applyBorder="1" applyAlignment="1">
      <alignment vertical="center"/>
    </xf>
    <xf numFmtId="0" fontId="5" fillId="4" borderId="8" xfId="0" applyFont="1" applyFill="1" applyBorder="1" applyAlignment="1">
      <alignment vertical="center"/>
    </xf>
    <xf numFmtId="167" fontId="9" fillId="0" borderId="0" xfId="1" applyNumberFormat="1" applyFont="1" applyFill="1" applyBorder="1" applyAlignment="1">
      <alignment horizontal="left" vertical="center"/>
    </xf>
    <xf numFmtId="0" fontId="9" fillId="0" borderId="0" xfId="0" applyFont="1"/>
    <xf numFmtId="0" fontId="9" fillId="4" borderId="8" xfId="0" applyFont="1" applyFill="1" applyBorder="1" applyAlignment="1">
      <alignment vertical="center"/>
    </xf>
    <xf numFmtId="0" fontId="30" fillId="3" borderId="0" xfId="0" applyFont="1" applyFill="1" applyAlignment="1">
      <alignment vertical="center"/>
    </xf>
    <xf numFmtId="1" fontId="7" fillId="4" borderId="0" xfId="0" applyNumberFormat="1" applyFont="1" applyFill="1" applyAlignment="1">
      <alignment vertical="center"/>
    </xf>
    <xf numFmtId="168" fontId="9" fillId="0" borderId="0" xfId="1" applyNumberFormat="1" applyFont="1" applyFill="1" applyBorder="1" applyAlignment="1">
      <alignment vertical="center"/>
    </xf>
    <xf numFmtId="0" fontId="9" fillId="0" borderId="0" xfId="0" applyFont="1" applyFill="1" applyBorder="1" applyAlignment="1">
      <alignment vertical="center"/>
    </xf>
    <xf numFmtId="0" fontId="4" fillId="3" borderId="2" xfId="0" applyFont="1" applyFill="1" applyBorder="1" applyAlignment="1">
      <alignment horizontal="center" vertical="center"/>
    </xf>
    <xf numFmtId="0" fontId="4" fillId="5"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5" fillId="4" borderId="11" xfId="0" applyFont="1" applyFill="1" applyBorder="1" applyAlignment="1">
      <alignment horizontal="left" vertical="center" wrapText="1"/>
    </xf>
    <xf numFmtId="0" fontId="5" fillId="4" borderId="11" xfId="0" applyFont="1" applyFill="1" applyBorder="1" applyAlignment="1">
      <alignment horizontal="left" vertical="center"/>
    </xf>
    <xf numFmtId="0" fontId="5" fillId="4" borderId="11" xfId="0" applyFont="1" applyFill="1" applyBorder="1" applyAlignment="1">
      <alignment vertical="center" wrapText="1"/>
    </xf>
    <xf numFmtId="0" fontId="4" fillId="3" borderId="11"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1" xfId="0" applyFont="1" applyFill="1" applyBorder="1" applyAlignment="1">
      <alignment vertical="center"/>
    </xf>
    <xf numFmtId="0" fontId="7" fillId="4" borderId="11" xfId="0" applyFont="1" applyFill="1" applyBorder="1" applyAlignment="1">
      <alignment vertical="center"/>
    </xf>
    <xf numFmtId="0" fontId="5" fillId="3" borderId="11" xfId="0" applyFont="1" applyFill="1" applyBorder="1" applyAlignment="1">
      <alignment vertical="center"/>
    </xf>
    <xf numFmtId="0" fontId="32" fillId="4" borderId="11" xfId="2" applyFont="1" applyFill="1" applyBorder="1" applyAlignment="1" applyProtection="1">
      <alignment vertical="center"/>
    </xf>
    <xf numFmtId="0" fontId="5" fillId="6" borderId="12" xfId="0" applyFont="1" applyFill="1" applyBorder="1" applyAlignment="1">
      <alignment vertical="center"/>
    </xf>
    <xf numFmtId="0" fontId="7" fillId="4" borderId="11" xfId="0" applyFont="1" applyFill="1" applyBorder="1" applyAlignment="1">
      <alignment vertical="center" wrapText="1"/>
    </xf>
    <xf numFmtId="0" fontId="30" fillId="4" borderId="11" xfId="0" applyFont="1" applyFill="1" applyBorder="1" applyAlignment="1">
      <alignment vertical="center"/>
    </xf>
    <xf numFmtId="0" fontId="9" fillId="4" borderId="11" xfId="0" applyFont="1" applyFill="1" applyBorder="1" applyAlignment="1">
      <alignment vertical="center"/>
    </xf>
    <xf numFmtId="0" fontId="6" fillId="4" borderId="11" xfId="0" applyFont="1" applyFill="1" applyBorder="1" applyAlignment="1">
      <alignment horizontal="center" vertical="center" wrapText="1"/>
    </xf>
    <xf numFmtId="0" fontId="5" fillId="6" borderId="12" xfId="0" applyFont="1" applyFill="1" applyBorder="1" applyAlignment="1">
      <alignment vertical="center" wrapText="1"/>
    </xf>
    <xf numFmtId="0" fontId="5" fillId="4" borderId="11" xfId="0" applyFont="1" applyFill="1" applyBorder="1" applyAlignment="1" applyProtection="1">
      <alignment vertical="center"/>
      <protection locked="0"/>
    </xf>
    <xf numFmtId="2" fontId="9" fillId="4" borderId="11" xfId="0" applyNumberFormat="1" applyFont="1" applyFill="1" applyBorder="1" applyAlignment="1">
      <alignment vertical="center" wrapText="1"/>
    </xf>
    <xf numFmtId="2" fontId="20" fillId="4" borderId="11" xfId="0" applyNumberFormat="1" applyFont="1" applyFill="1" applyBorder="1" applyAlignment="1">
      <alignment vertical="center" wrapText="1"/>
    </xf>
    <xf numFmtId="2" fontId="21" fillId="4" borderId="11" xfId="0" applyNumberFormat="1" applyFont="1" applyFill="1" applyBorder="1" applyAlignment="1">
      <alignment vertical="center" wrapText="1"/>
    </xf>
    <xf numFmtId="0" fontId="0" fillId="4" borderId="11" xfId="0" applyFill="1" applyBorder="1" applyAlignment="1">
      <alignment vertical="center"/>
    </xf>
    <xf numFmtId="2" fontId="9" fillId="4" borderId="11" xfId="0" applyNumberFormat="1" applyFont="1" applyFill="1" applyBorder="1" applyAlignment="1">
      <alignment vertical="center"/>
    </xf>
    <xf numFmtId="0" fontId="9" fillId="4" borderId="11" xfId="0" applyFont="1" applyFill="1" applyBorder="1" applyAlignment="1">
      <alignment horizontal="left" vertical="center" wrapText="1"/>
    </xf>
    <xf numFmtId="0" fontId="20" fillId="4" borderId="11" xfId="0" applyFont="1" applyFill="1" applyBorder="1" applyAlignment="1">
      <alignment vertical="center" wrapText="1"/>
    </xf>
    <xf numFmtId="0" fontId="9" fillId="4" borderId="11" xfId="0" applyFont="1" applyFill="1" applyBorder="1" applyAlignment="1">
      <alignment horizontal="left" vertical="center"/>
    </xf>
    <xf numFmtId="0" fontId="30" fillId="4" borderId="11" xfId="0" applyFont="1" applyFill="1" applyBorder="1" applyAlignment="1">
      <alignment vertical="center" wrapText="1"/>
    </xf>
    <xf numFmtId="0" fontId="4" fillId="3" borderId="11" xfId="0" applyFont="1" applyFill="1" applyBorder="1" applyAlignment="1">
      <alignment vertical="center" wrapText="1"/>
    </xf>
    <xf numFmtId="0" fontId="4" fillId="4" borderId="11" xfId="0" applyFont="1" applyFill="1" applyBorder="1" applyAlignment="1">
      <alignment vertical="center" wrapText="1"/>
    </xf>
    <xf numFmtId="0" fontId="7" fillId="6" borderId="12" xfId="0" applyFont="1" applyFill="1" applyBorder="1" applyAlignment="1">
      <alignment vertical="center"/>
    </xf>
    <xf numFmtId="0" fontId="7" fillId="4" borderId="11" xfId="0" applyFont="1" applyFill="1" applyBorder="1"/>
    <xf numFmtId="0" fontId="9" fillId="6" borderId="12" xfId="0" applyFont="1" applyFill="1" applyBorder="1" applyAlignment="1">
      <alignment vertical="center"/>
    </xf>
    <xf numFmtId="0" fontId="9" fillId="4" borderId="11" xfId="0" applyFont="1" applyFill="1" applyBorder="1" applyAlignment="1">
      <alignment vertical="top" wrapText="1"/>
    </xf>
    <xf numFmtId="0" fontId="9" fillId="6" borderId="12" xfId="0" applyFont="1" applyFill="1" applyBorder="1" applyAlignment="1">
      <alignment vertical="center" wrapText="1"/>
    </xf>
    <xf numFmtId="0" fontId="9" fillId="4" borderId="11" xfId="0" applyFont="1" applyFill="1" applyBorder="1" applyAlignment="1" applyProtection="1">
      <alignment vertical="center"/>
      <protection locked="0"/>
    </xf>
    <xf numFmtId="0" fontId="20" fillId="4" borderId="11" xfId="0" applyFont="1" applyFill="1" applyBorder="1" applyAlignment="1">
      <alignment vertical="center"/>
    </xf>
    <xf numFmtId="0" fontId="9" fillId="3" borderId="11"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 xfId="0" applyFont="1" applyFill="1" applyBorder="1"/>
    <xf numFmtId="0" fontId="7" fillId="6" borderId="12" xfId="0" applyFont="1" applyFill="1" applyBorder="1"/>
    <xf numFmtId="1" fontId="9" fillId="4" borderId="11" xfId="0" applyNumberFormat="1" applyFont="1" applyFill="1" applyBorder="1" applyAlignment="1">
      <alignment vertical="center"/>
    </xf>
    <xf numFmtId="1" fontId="7" fillId="4" borderId="11" xfId="0" applyNumberFormat="1" applyFont="1" applyFill="1" applyBorder="1" applyAlignment="1">
      <alignment vertical="center"/>
    </xf>
    <xf numFmtId="0" fontId="9" fillId="4" borderId="11" xfId="0" applyFont="1" applyFill="1" applyBorder="1" applyAlignment="1" applyProtection="1">
      <alignment horizontal="left" vertical="center" wrapText="1"/>
      <protection locked="0"/>
    </xf>
    <xf numFmtId="0" fontId="6" fillId="5" borderId="10" xfId="0" applyFont="1" applyFill="1" applyBorder="1" applyAlignment="1">
      <alignment horizontal="center" vertical="center" wrapText="1"/>
    </xf>
    <xf numFmtId="0" fontId="6" fillId="3" borderId="11" xfId="0" applyFont="1" applyFill="1" applyBorder="1" applyAlignment="1">
      <alignment vertical="center" wrapText="1"/>
    </xf>
    <xf numFmtId="0" fontId="6" fillId="4" borderId="11" xfId="0" applyFont="1" applyFill="1" applyBorder="1" applyAlignment="1">
      <alignment vertical="center" wrapText="1"/>
    </xf>
    <xf numFmtId="2" fontId="7" fillId="4" borderId="11" xfId="0" applyNumberFormat="1" applyFont="1" applyFill="1" applyBorder="1" applyAlignment="1">
      <alignment vertical="center" wrapText="1"/>
    </xf>
    <xf numFmtId="2" fontId="7" fillId="4" borderId="11" xfId="0" applyNumberFormat="1" applyFont="1" applyFill="1" applyBorder="1" applyAlignment="1">
      <alignment horizontal="left" vertical="center"/>
    </xf>
    <xf numFmtId="2" fontId="20" fillId="6" borderId="12" xfId="0" applyNumberFormat="1" applyFont="1" applyFill="1" applyBorder="1" applyAlignment="1">
      <alignment vertical="center"/>
    </xf>
    <xf numFmtId="0" fontId="31" fillId="0" borderId="0" xfId="0" applyFont="1" applyBorder="1"/>
    <xf numFmtId="0" fontId="5" fillId="0" borderId="0" xfId="0" applyFont="1" applyBorder="1"/>
    <xf numFmtId="0" fontId="4" fillId="0" borderId="0" xfId="0" applyFont="1"/>
    <xf numFmtId="0" fontId="22" fillId="0" borderId="0" xfId="0" applyFont="1" applyAlignment="1">
      <alignment horizontal="right"/>
    </xf>
    <xf numFmtId="0" fontId="7" fillId="0" borderId="0" xfId="0" applyFont="1"/>
    <xf numFmtId="0" fontId="31" fillId="4" borderId="0" xfId="0" applyFont="1" applyFill="1" applyBorder="1" applyAlignment="1">
      <alignment vertical="center"/>
    </xf>
    <xf numFmtId="0" fontId="31" fillId="0" borderId="0" xfId="0" applyFont="1" applyFill="1" applyBorder="1"/>
    <xf numFmtId="0" fontId="4" fillId="0" borderId="0" xfId="0" applyFont="1" applyFill="1" applyBorder="1"/>
    <xf numFmtId="0" fontId="5" fillId="0" borderId="0" xfId="0" applyFont="1" applyFill="1"/>
    <xf numFmtId="0" fontId="9" fillId="0" borderId="0" xfId="0" applyFont="1" applyBorder="1"/>
    <xf numFmtId="0" fontId="9" fillId="0" borderId="0" xfId="0" applyFont="1" applyFill="1" applyBorder="1" applyAlignment="1">
      <alignment vertical="justify"/>
    </xf>
    <xf numFmtId="0" fontId="9" fillId="0" borderId="0" xfId="0" applyFont="1" applyFill="1" applyBorder="1" applyAlignment="1">
      <alignment vertical="center" wrapText="1"/>
    </xf>
    <xf numFmtId="0" fontId="9" fillId="0" borderId="0" xfId="0" applyFont="1" applyFill="1" applyBorder="1"/>
    <xf numFmtId="0" fontId="9" fillId="4" borderId="14" xfId="0" applyFont="1" applyFill="1" applyBorder="1" applyAlignment="1">
      <alignment vertical="center"/>
    </xf>
    <xf numFmtId="0" fontId="9" fillId="4" borderId="17" xfId="0" applyFont="1" applyFill="1" applyBorder="1" applyAlignment="1">
      <alignment vertical="justify"/>
    </xf>
    <xf numFmtId="0" fontId="5" fillId="4" borderId="16" xfId="0" applyFont="1" applyFill="1" applyBorder="1"/>
    <xf numFmtId="0" fontId="9" fillId="4" borderId="0" xfId="0" applyFont="1" applyFill="1" applyBorder="1" applyAlignment="1">
      <alignment vertical="center" wrapText="1"/>
    </xf>
    <xf numFmtId="0" fontId="7" fillId="0" borderId="0" xfId="0" applyFont="1" applyFill="1" applyBorder="1" applyAlignment="1">
      <alignment vertical="center"/>
    </xf>
    <xf numFmtId="0" fontId="9" fillId="6" borderId="6" xfId="0" applyFont="1" applyFill="1" applyBorder="1"/>
    <xf numFmtId="0" fontId="9" fillId="6" borderId="0" xfId="0" applyFont="1" applyFill="1" applyAlignment="1">
      <alignment horizontal="left" vertical="center" wrapText="1"/>
    </xf>
    <xf numFmtId="168" fontId="9" fillId="6" borderId="2" xfId="0" applyNumberFormat="1" applyFont="1" applyFill="1" applyBorder="1" applyAlignment="1">
      <alignment horizontal="center" vertical="center"/>
    </xf>
    <xf numFmtId="0" fontId="9" fillId="4" borderId="7" xfId="0" applyFont="1" applyFill="1" applyBorder="1" applyAlignment="1">
      <alignment horizontal="center" vertical="center"/>
    </xf>
    <xf numFmtId="0" fontId="5" fillId="4" borderId="4" xfId="0" applyFont="1" applyFill="1" applyBorder="1" applyAlignment="1">
      <alignment horizontal="center" vertical="center"/>
    </xf>
    <xf numFmtId="0" fontId="3" fillId="3" borderId="0" xfId="0" applyFont="1" applyFill="1" applyBorder="1" applyAlignment="1">
      <alignment vertical="center" wrapText="1"/>
    </xf>
    <xf numFmtId="0" fontId="5" fillId="3" borderId="15" xfId="0" applyFont="1" applyFill="1" applyBorder="1" applyAlignment="1">
      <alignment horizontal="center" vertical="center"/>
    </xf>
    <xf numFmtId="0" fontId="35" fillId="0" borderId="0" xfId="0" applyFont="1" applyFill="1"/>
    <xf numFmtId="0" fontId="4" fillId="5" borderId="19" xfId="0" applyFont="1" applyFill="1" applyBorder="1" applyAlignment="1">
      <alignment horizontal="center" vertical="center" wrapText="1"/>
    </xf>
    <xf numFmtId="0" fontId="9" fillId="4" borderId="15" xfId="0" applyFont="1" applyFill="1" applyBorder="1" applyAlignment="1">
      <alignment vertical="top" wrapText="1"/>
    </xf>
    <xf numFmtId="0" fontId="4" fillId="3" borderId="15" xfId="0" applyFont="1" applyFill="1" applyBorder="1" applyAlignment="1">
      <alignment horizontal="center" vertical="center" wrapText="1"/>
    </xf>
    <xf numFmtId="0" fontId="5" fillId="6" borderId="17" xfId="0" applyFont="1" applyFill="1" applyBorder="1" applyAlignment="1">
      <alignment vertical="center"/>
    </xf>
    <xf numFmtId="0" fontId="9" fillId="6" borderId="17" xfId="0" applyFont="1" applyFill="1" applyBorder="1" applyAlignment="1">
      <alignment vertical="top" wrapText="1"/>
    </xf>
    <xf numFmtId="0" fontId="1" fillId="0" borderId="0" xfId="0" applyFont="1" applyAlignment="1">
      <alignment horizontal="left" vertical="center" wrapText="1"/>
    </xf>
    <xf numFmtId="0" fontId="5" fillId="4" borderId="21" xfId="0" applyFont="1" applyFill="1" applyBorder="1" applyAlignment="1">
      <alignment vertical="center" wrapText="1"/>
    </xf>
    <xf numFmtId="0" fontId="9" fillId="6" borderId="6" xfId="0" applyFont="1" applyFill="1" applyBorder="1" applyAlignment="1">
      <alignment horizontal="center" vertical="center"/>
    </xf>
    <xf numFmtId="0" fontId="4" fillId="5" borderId="4"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0" fillId="0" borderId="13" xfId="0" applyFill="1" applyBorder="1"/>
    <xf numFmtId="0" fontId="9" fillId="6" borderId="0" xfId="0" applyFont="1" applyFill="1" applyBorder="1" applyAlignment="1">
      <alignment horizontal="center" vertical="center"/>
    </xf>
    <xf numFmtId="167" fontId="9" fillId="4" borderId="0" xfId="1" applyNumberFormat="1" applyFont="1" applyFill="1" applyBorder="1" applyAlignment="1" applyProtection="1">
      <alignment horizontal="right" vertical="center"/>
    </xf>
    <xf numFmtId="0" fontId="7" fillId="0" borderId="0" xfId="0" applyFont="1" applyFill="1" applyAlignment="1">
      <alignment wrapText="1"/>
    </xf>
    <xf numFmtId="0" fontId="17" fillId="0" borderId="0" xfId="0" applyFont="1" applyFill="1"/>
    <xf numFmtId="0" fontId="0" fillId="0" borderId="13" xfId="0" applyBorder="1"/>
    <xf numFmtId="0" fontId="9" fillId="4" borderId="7" xfId="0" applyFont="1" applyFill="1" applyBorder="1" applyAlignment="1">
      <alignment horizontal="left" vertical="center" wrapText="1"/>
    </xf>
    <xf numFmtId="0" fontId="31" fillId="0" borderId="0" xfId="0" applyFont="1" applyBorder="1" applyAlignment="1">
      <alignment vertical="center"/>
    </xf>
    <xf numFmtId="0" fontId="22" fillId="0" borderId="0" xfId="0" applyFont="1" applyAlignment="1">
      <alignment horizontal="right" vertical="center"/>
    </xf>
    <xf numFmtId="1" fontId="9" fillId="4" borderId="11" xfId="0" applyNumberFormat="1" applyFont="1" applyFill="1" applyBorder="1" applyAlignment="1">
      <alignment vertical="center" wrapText="1"/>
    </xf>
    <xf numFmtId="0" fontId="5" fillId="4" borderId="0" xfId="0" applyNumberFormat="1" applyFont="1" applyFill="1" applyAlignment="1">
      <alignment vertical="center" wrapText="1"/>
    </xf>
    <xf numFmtId="0" fontId="9" fillId="0" borderId="0" xfId="0" applyFont="1" applyFill="1"/>
    <xf numFmtId="0" fontId="40" fillId="0" borderId="0" xfId="0" applyFont="1" applyFill="1"/>
    <xf numFmtId="0" fontId="5" fillId="4" borderId="7" xfId="0" applyFont="1" applyFill="1" applyBorder="1" applyAlignment="1">
      <alignment vertical="center" wrapText="1"/>
    </xf>
    <xf numFmtId="0" fontId="31" fillId="6" borderId="12" xfId="0" applyFont="1" applyFill="1" applyBorder="1" applyAlignment="1">
      <alignment vertical="center"/>
    </xf>
    <xf numFmtId="0" fontId="9" fillId="4" borderId="14" xfId="0" applyFont="1" applyFill="1" applyBorder="1" applyAlignment="1">
      <alignment horizontal="left" vertical="center"/>
    </xf>
    <xf numFmtId="164" fontId="5" fillId="4" borderId="0" xfId="0" applyNumberFormat="1" applyFont="1" applyFill="1" applyBorder="1" applyAlignment="1">
      <alignment horizontal="right" vertical="center"/>
    </xf>
    <xf numFmtId="0" fontId="42" fillId="0" borderId="0" xfId="0" applyFont="1"/>
    <xf numFmtId="0" fontId="43" fillId="0" borderId="0" xfId="0" applyFont="1"/>
    <xf numFmtId="0" fontId="44" fillId="0" borderId="0" xfId="0" applyFont="1"/>
    <xf numFmtId="0" fontId="45" fillId="0" borderId="0" xfId="0" applyFont="1"/>
    <xf numFmtId="0" fontId="46" fillId="0" borderId="0" xfId="0" applyFont="1" applyFill="1" applyBorder="1" applyAlignment="1">
      <alignment horizontal="left" vertical="center"/>
    </xf>
    <xf numFmtId="0" fontId="5" fillId="4" borderId="15" xfId="0" applyFont="1" applyFill="1" applyBorder="1" applyAlignment="1">
      <alignment vertical="center"/>
    </xf>
    <xf numFmtId="0" fontId="9" fillId="4" borderId="15" xfId="0" applyFont="1" applyFill="1" applyBorder="1" applyAlignment="1">
      <alignment vertical="center"/>
    </xf>
    <xf numFmtId="0" fontId="47" fillId="0" borderId="0" xfId="0" applyFont="1"/>
    <xf numFmtId="0" fontId="48" fillId="0" borderId="0" xfId="0" applyFont="1" applyAlignment="1">
      <alignment horizontal="justify"/>
    </xf>
    <xf numFmtId="0" fontId="47" fillId="0" borderId="0" xfId="0" applyFont="1" applyAlignment="1">
      <alignment wrapText="1"/>
    </xf>
    <xf numFmtId="179" fontId="5" fillId="0" borderId="0" xfId="0" applyNumberFormat="1" applyFont="1" applyFill="1" applyBorder="1" applyAlignment="1">
      <alignment horizontal="left"/>
    </xf>
    <xf numFmtId="0" fontId="0" fillId="0" borderId="0" xfId="0" applyAlignment="1">
      <alignment wrapText="1"/>
    </xf>
    <xf numFmtId="180" fontId="9" fillId="4" borderId="0" xfId="0" applyNumberFormat="1" applyFont="1" applyFill="1" applyBorder="1" applyAlignment="1">
      <alignment vertical="center"/>
    </xf>
    <xf numFmtId="0" fontId="0" fillId="4" borderId="0" xfId="0" applyFill="1"/>
    <xf numFmtId="0" fontId="4" fillId="4" borderId="15" xfId="0" applyFont="1" applyFill="1" applyBorder="1" applyAlignment="1">
      <alignment horizontal="center" vertical="center" wrapText="1"/>
    </xf>
    <xf numFmtId="0" fontId="50" fillId="0" borderId="0" xfId="0" applyFont="1" applyAlignment="1">
      <alignment horizontal="center"/>
    </xf>
    <xf numFmtId="0" fontId="42" fillId="0" borderId="0" xfId="0" applyFont="1" applyAlignment="1" applyProtection="1">
      <alignment horizontal="left"/>
    </xf>
    <xf numFmtId="0" fontId="42" fillId="0" borderId="0" xfId="0" applyFont="1" applyProtection="1"/>
    <xf numFmtId="0" fontId="43" fillId="0" borderId="0" xfId="0" applyFont="1" applyAlignment="1">
      <alignment horizontal="center"/>
    </xf>
    <xf numFmtId="0" fontId="42" fillId="2" borderId="0" xfId="0" applyFont="1" applyFill="1" applyAlignment="1" applyProtection="1">
      <alignment horizontal="center"/>
      <protection locked="0"/>
    </xf>
    <xf numFmtId="0" fontId="42" fillId="0" borderId="0" xfId="0" applyFont="1" applyAlignment="1" applyProtection="1">
      <alignment horizontal="center"/>
    </xf>
    <xf numFmtId="0" fontId="42" fillId="0" borderId="0" xfId="0" applyFont="1" applyAlignment="1" applyProtection="1">
      <alignment horizontal="center"/>
      <protection locked="0"/>
    </xf>
    <xf numFmtId="174" fontId="42" fillId="0" borderId="0" xfId="0" applyNumberFormat="1" applyFont="1" applyAlignment="1" applyProtection="1">
      <alignment horizontal="center"/>
    </xf>
    <xf numFmtId="1" fontId="42" fillId="0" borderId="0" xfId="0" applyNumberFormat="1" applyFont="1" applyAlignment="1" applyProtection="1">
      <alignment horizontal="center"/>
    </xf>
    <xf numFmtId="171" fontId="42" fillId="0" borderId="0" xfId="0" applyNumberFormat="1" applyFont="1" applyAlignment="1" applyProtection="1">
      <alignment horizontal="center"/>
    </xf>
    <xf numFmtId="2" fontId="42" fillId="0" borderId="0" xfId="0" applyNumberFormat="1" applyFont="1" applyAlignment="1" applyProtection="1">
      <alignment horizontal="center"/>
    </xf>
    <xf numFmtId="0" fontId="42" fillId="0" borderId="0" xfId="0" applyFont="1" applyAlignment="1">
      <alignment horizontal="center"/>
    </xf>
    <xf numFmtId="176" fontId="42" fillId="0" borderId="0" xfId="0" applyNumberFormat="1" applyFont="1" applyAlignment="1">
      <alignment horizontal="center"/>
    </xf>
    <xf numFmtId="165" fontId="42" fillId="0" borderId="0" xfId="0" applyNumberFormat="1" applyFont="1" applyAlignment="1">
      <alignment horizontal="center"/>
    </xf>
    <xf numFmtId="165" fontId="42" fillId="0" borderId="0" xfId="0" applyNumberFormat="1" applyFont="1" applyAlignment="1" applyProtection="1">
      <alignment horizontal="center"/>
    </xf>
    <xf numFmtId="177" fontId="42" fillId="0" borderId="0" xfId="0" applyNumberFormat="1" applyFont="1" applyAlignment="1" applyProtection="1">
      <alignment horizontal="center"/>
    </xf>
    <xf numFmtId="174" fontId="42" fillId="0" borderId="0" xfId="0" applyNumberFormat="1" applyFont="1" applyAlignment="1">
      <alignment horizontal="center"/>
    </xf>
    <xf numFmtId="178" fontId="42" fillId="0" borderId="0" xfId="0" applyNumberFormat="1" applyFont="1" applyAlignment="1">
      <alignment horizontal="center"/>
    </xf>
    <xf numFmtId="0" fontId="42" fillId="0" borderId="0" xfId="0" applyFont="1" applyFill="1" applyAlignment="1" applyProtection="1">
      <alignment horizontal="center"/>
      <protection locked="0"/>
    </xf>
    <xf numFmtId="0" fontId="42" fillId="0" borderId="0" xfId="0" applyFont="1" applyProtection="1">
      <protection locked="0"/>
    </xf>
    <xf numFmtId="166" fontId="42" fillId="0" borderId="0" xfId="0" applyNumberFormat="1" applyFont="1" applyAlignment="1">
      <alignment horizontal="center"/>
    </xf>
    <xf numFmtId="175" fontId="42" fillId="0" borderId="0" xfId="0" applyNumberFormat="1" applyFont="1" applyAlignment="1">
      <alignment horizontal="center"/>
    </xf>
    <xf numFmtId="178" fontId="42" fillId="0" borderId="0" xfId="0" applyNumberFormat="1" applyFont="1" applyAlignment="1" applyProtection="1">
      <alignment horizontal="center"/>
    </xf>
    <xf numFmtId="171" fontId="42" fillId="0" borderId="0" xfId="0" applyNumberFormat="1" applyFont="1" applyAlignment="1">
      <alignment horizontal="center"/>
    </xf>
    <xf numFmtId="0" fontId="44" fillId="0" borderId="9" xfId="0" applyFont="1" applyBorder="1" applyAlignment="1"/>
    <xf numFmtId="0" fontId="44" fillId="0" borderId="24" xfId="0" applyFont="1" applyBorder="1" applyAlignment="1"/>
    <xf numFmtId="0" fontId="44" fillId="0" borderId="23" xfId="0" applyFont="1" applyBorder="1" applyAlignment="1">
      <alignment horizontal="left" vertical="center"/>
    </xf>
    <xf numFmtId="0" fontId="9" fillId="4" borderId="0" xfId="1" applyNumberFormat="1" applyFont="1" applyFill="1" applyBorder="1" applyAlignment="1" applyProtection="1">
      <alignment horizontal="right" vertical="center"/>
    </xf>
    <xf numFmtId="0" fontId="9" fillId="0" borderId="0" xfId="0" applyFont="1" applyFill="1" applyBorder="1" applyAlignment="1">
      <alignment horizontal="left" vertical="center"/>
    </xf>
    <xf numFmtId="0" fontId="9" fillId="2" borderId="1" xfId="0" applyFont="1" applyFill="1" applyBorder="1" applyAlignment="1" applyProtection="1">
      <alignment horizontal="center" vertical="center"/>
      <protection locked="0"/>
    </xf>
    <xf numFmtId="0" fontId="7" fillId="0" borderId="0" xfId="0" applyFont="1" applyFill="1" applyBorder="1" applyAlignment="1">
      <alignment horizontal="left" vertical="center"/>
    </xf>
    <xf numFmtId="2" fontId="5" fillId="0" borderId="0" xfId="0" applyNumberFormat="1" applyFont="1" applyFill="1" applyBorder="1"/>
    <xf numFmtId="0" fontId="14" fillId="0" borderId="0" xfId="0" applyFont="1" applyFill="1" applyAlignment="1">
      <alignment horizontal="left" vertical="center" wrapText="1"/>
    </xf>
    <xf numFmtId="0" fontId="9" fillId="0" borderId="0" xfId="0" applyFont="1" applyFill="1" applyAlignment="1">
      <alignment horizontal="left" vertical="center" wrapText="1"/>
    </xf>
    <xf numFmtId="0" fontId="9" fillId="0" borderId="2" xfId="0" applyFont="1" applyFill="1" applyBorder="1" applyAlignment="1">
      <alignment horizontal="center" vertical="center"/>
    </xf>
    <xf numFmtId="0" fontId="5" fillId="0" borderId="0" xfId="0" applyFont="1" applyFill="1" applyAlignment="1">
      <alignment horizontal="left" vertical="center" wrapText="1"/>
    </xf>
    <xf numFmtId="2"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9" fillId="0" borderId="0" xfId="0" applyFont="1" applyFill="1" applyBorder="1" applyAlignment="1" applyProtection="1">
      <alignment horizontal="left" vertical="center" wrapText="1"/>
      <protection locked="0"/>
    </xf>
    <xf numFmtId="0" fontId="42" fillId="4" borderId="0" xfId="0" applyFont="1" applyFill="1"/>
    <xf numFmtId="0" fontId="9" fillId="4" borderId="20" xfId="0" applyNumberFormat="1" applyFont="1" applyFill="1" applyBorder="1" applyAlignment="1">
      <alignment vertical="top" wrapText="1"/>
    </xf>
    <xf numFmtId="0" fontId="9" fillId="4" borderId="15" xfId="0" applyNumberFormat="1" applyFont="1" applyFill="1" applyBorder="1" applyAlignment="1">
      <alignment vertical="top" wrapText="1"/>
    </xf>
    <xf numFmtId="0" fontId="5" fillId="4" borderId="4" xfId="0" applyFont="1" applyFill="1" applyBorder="1" applyAlignment="1">
      <alignment horizontal="center" vertical="center" wrapText="1"/>
    </xf>
    <xf numFmtId="0" fontId="5" fillId="5" borderId="0" xfId="0" applyFont="1" applyFill="1" applyBorder="1" applyAlignment="1">
      <alignment vertical="center"/>
    </xf>
    <xf numFmtId="0" fontId="5" fillId="6" borderId="15" xfId="0" applyFont="1" applyFill="1" applyBorder="1" applyAlignment="1">
      <alignment vertical="center" wrapText="1"/>
    </xf>
    <xf numFmtId="0" fontId="5" fillId="6" borderId="14" xfId="0" applyFont="1" applyFill="1" applyBorder="1" applyAlignment="1">
      <alignment vertical="center"/>
    </xf>
    <xf numFmtId="0" fontId="5" fillId="6" borderId="15" xfId="0" applyFont="1" applyFill="1" applyBorder="1" applyAlignment="1">
      <alignment vertical="center"/>
    </xf>
    <xf numFmtId="0" fontId="5" fillId="6" borderId="17" xfId="0" applyFont="1" applyFill="1" applyBorder="1" applyAlignment="1">
      <alignment vertical="center" wrapText="1"/>
    </xf>
    <xf numFmtId="0" fontId="5" fillId="6" borderId="26" xfId="0" applyFont="1" applyFill="1" applyBorder="1" applyAlignment="1">
      <alignment vertical="center"/>
    </xf>
    <xf numFmtId="0" fontId="3" fillId="3" borderId="2" xfId="0" applyFont="1" applyFill="1" applyBorder="1" applyAlignment="1">
      <alignment horizontal="center" vertical="center" wrapText="1"/>
    </xf>
    <xf numFmtId="0" fontId="58" fillId="0" borderId="0" xfId="0" applyFont="1" applyAlignment="1">
      <alignment horizontal="left" vertical="center"/>
    </xf>
    <xf numFmtId="0" fontId="54" fillId="0" borderId="0" xfId="0" applyFont="1" applyFill="1" applyBorder="1" applyAlignment="1">
      <alignment vertical="center" wrapText="1"/>
    </xf>
    <xf numFmtId="0" fontId="53" fillId="0" borderId="0" xfId="0" applyFont="1" applyFill="1"/>
    <xf numFmtId="0" fontId="43" fillId="0" borderId="0" xfId="0" applyFont="1" applyFill="1"/>
    <xf numFmtId="0" fontId="38" fillId="0" borderId="0" xfId="0" applyFont="1"/>
    <xf numFmtId="0" fontId="38" fillId="0" borderId="0" xfId="0" applyFont="1" applyFill="1" applyBorder="1" applyAlignment="1">
      <alignment vertical="center" wrapText="1"/>
    </xf>
    <xf numFmtId="0" fontId="38"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0" borderId="0" xfId="0" applyAlignment="1">
      <alignment horizontal="left" vertical="center"/>
    </xf>
    <xf numFmtId="0" fontId="63" fillId="4" borderId="3" xfId="0" applyFont="1" applyFill="1" applyBorder="1" applyAlignment="1">
      <alignment horizontal="right" vertical="center"/>
    </xf>
    <xf numFmtId="0" fontId="62" fillId="4" borderId="4" xfId="0" applyFont="1" applyFill="1" applyBorder="1" applyAlignment="1">
      <alignment horizontal="left" vertical="center" wrapText="1"/>
    </xf>
    <xf numFmtId="0" fontId="0" fillId="0" borderId="0" xfId="0" applyAlignment="1">
      <alignment horizontal="center" vertical="center"/>
    </xf>
    <xf numFmtId="0" fontId="59" fillId="0" borderId="0" xfId="0" applyFont="1" applyAlignment="1">
      <alignment horizontal="center" vertical="center"/>
    </xf>
    <xf numFmtId="164" fontId="64" fillId="0" borderId="0" xfId="0" applyNumberFormat="1" applyFont="1" applyFill="1"/>
    <xf numFmtId="0" fontId="4" fillId="3" borderId="4" xfId="0" applyFont="1" applyFill="1" applyBorder="1" applyAlignment="1">
      <alignment horizontal="center" vertical="center" wrapText="1"/>
    </xf>
    <xf numFmtId="0" fontId="3" fillId="5" borderId="4" xfId="0" applyFont="1" applyFill="1" applyBorder="1" applyAlignment="1" applyProtection="1">
      <alignment horizontal="center" vertical="center" wrapText="1"/>
    </xf>
    <xf numFmtId="3" fontId="9" fillId="2" borderId="1" xfId="0" applyNumberFormat="1" applyFont="1" applyFill="1" applyBorder="1" applyAlignment="1" applyProtection="1">
      <alignment horizontal="right" vertical="center"/>
    </xf>
    <xf numFmtId="173" fontId="9" fillId="4" borderId="0" xfId="1" applyNumberFormat="1" applyFont="1" applyFill="1" applyBorder="1" applyAlignment="1" applyProtection="1">
      <alignment horizontal="right" vertical="center"/>
    </xf>
    <xf numFmtId="4" fontId="9" fillId="4" borderId="0" xfId="0" applyNumberFormat="1" applyFont="1" applyFill="1" applyBorder="1" applyAlignment="1" applyProtection="1">
      <alignment horizontal="right" vertical="center"/>
    </xf>
    <xf numFmtId="4" fontId="9" fillId="2" borderId="1" xfId="0" applyNumberFormat="1" applyFont="1" applyFill="1" applyBorder="1" applyAlignment="1" applyProtection="1">
      <alignment horizontal="right" vertical="center"/>
    </xf>
    <xf numFmtId="4" fontId="9" fillId="4" borderId="0" xfId="0" applyNumberFormat="1" applyFont="1" applyFill="1" applyAlignment="1" applyProtection="1">
      <alignment horizontal="right" vertical="center"/>
    </xf>
    <xf numFmtId="4" fontId="9" fillId="4" borderId="0" xfId="0" applyNumberFormat="1" applyFont="1" applyFill="1" applyBorder="1" applyAlignment="1" applyProtection="1">
      <alignment horizontal="right" vertical="center" wrapText="1"/>
    </xf>
    <xf numFmtId="0" fontId="5" fillId="2" borderId="1" xfId="0" applyFont="1" applyFill="1" applyBorder="1" applyAlignment="1" applyProtection="1">
      <alignment horizontal="right" vertical="center"/>
    </xf>
    <xf numFmtId="1" fontId="6" fillId="3" borderId="2" xfId="0" applyNumberFormat="1" applyFont="1" applyFill="1" applyBorder="1" applyAlignment="1" applyProtection="1">
      <alignment horizontal="center" vertical="center" wrapText="1"/>
    </xf>
    <xf numFmtId="2" fontId="9" fillId="4" borderId="0" xfId="0" applyNumberFormat="1" applyFont="1" applyFill="1" applyBorder="1" applyAlignment="1" applyProtection="1">
      <alignment horizontal="right" vertical="center" wrapText="1"/>
    </xf>
    <xf numFmtId="0" fontId="5" fillId="4" borderId="0" xfId="0" applyFont="1" applyFill="1" applyAlignment="1" applyProtection="1">
      <alignment horizontal="center" vertical="center"/>
    </xf>
    <xf numFmtId="0" fontId="6" fillId="4" borderId="0" xfId="0" applyFont="1" applyFill="1" applyBorder="1" applyAlignment="1" applyProtection="1">
      <alignment horizontal="center" vertical="center" wrapText="1"/>
    </xf>
    <xf numFmtId="164" fontId="5" fillId="4" borderId="0" xfId="0" applyNumberFormat="1" applyFont="1" applyFill="1" applyAlignment="1" applyProtection="1">
      <alignment horizontal="right" vertical="center"/>
    </xf>
    <xf numFmtId="164" fontId="5" fillId="6" borderId="2" xfId="0" applyNumberFormat="1" applyFont="1" applyFill="1" applyBorder="1" applyAlignment="1" applyProtection="1">
      <alignment horizontal="right" vertical="center"/>
    </xf>
    <xf numFmtId="164" fontId="9" fillId="4" borderId="0" xfId="0" applyNumberFormat="1" applyFont="1" applyFill="1" applyAlignment="1" applyProtection="1">
      <alignment vertical="center"/>
    </xf>
    <xf numFmtId="0" fontId="5" fillId="2" borderId="1" xfId="0" applyFont="1" applyFill="1" applyBorder="1" applyAlignment="1" applyProtection="1">
      <alignment horizontal="center" vertical="center"/>
    </xf>
    <xf numFmtId="0" fontId="5" fillId="4" borderId="0" xfId="0" applyFont="1" applyFill="1" applyAlignment="1" applyProtection="1">
      <alignment horizontal="right" vertical="center"/>
    </xf>
    <xf numFmtId="0" fontId="9" fillId="2" borderId="1" xfId="0" applyNumberFormat="1" applyFont="1" applyFill="1" applyBorder="1" applyAlignment="1" applyProtection="1">
      <alignment vertical="center"/>
    </xf>
    <xf numFmtId="0" fontId="9" fillId="4" borderId="0" xfId="0" applyNumberFormat="1" applyFont="1" applyFill="1" applyAlignment="1" applyProtection="1">
      <alignment vertical="center"/>
    </xf>
    <xf numFmtId="0" fontId="0" fillId="0" borderId="0" xfId="0" applyNumberFormat="1" applyProtection="1"/>
    <xf numFmtId="0" fontId="3" fillId="5" borderId="4" xfId="0" applyNumberFormat="1" applyFont="1" applyFill="1" applyBorder="1" applyAlignment="1" applyProtection="1">
      <alignment horizontal="center" vertical="center" wrapText="1"/>
    </xf>
    <xf numFmtId="0" fontId="5" fillId="4" borderId="0" xfId="0" applyNumberFormat="1" applyFont="1" applyFill="1" applyAlignment="1" applyProtection="1">
      <alignment horizontal="center" vertical="center"/>
    </xf>
    <xf numFmtId="0" fontId="9" fillId="4" borderId="0" xfId="0" applyNumberFormat="1" applyFont="1" applyFill="1" applyBorder="1" applyAlignment="1" applyProtection="1">
      <alignment horizontal="center" vertical="center" wrapText="1"/>
    </xf>
    <xf numFmtId="2" fontId="5" fillId="4" borderId="0" xfId="0" applyNumberFormat="1" applyFont="1" applyFill="1" applyBorder="1" applyAlignment="1" applyProtection="1">
      <alignment horizontal="right" vertical="center"/>
    </xf>
    <xf numFmtId="1" fontId="9" fillId="4" borderId="0" xfId="1" applyNumberFormat="1" applyFont="1" applyFill="1" applyBorder="1" applyAlignment="1" applyProtection="1">
      <alignment horizontal="right" vertical="center"/>
    </xf>
    <xf numFmtId="166" fontId="9" fillId="4" borderId="0" xfId="1" applyNumberFormat="1" applyFont="1" applyFill="1" applyBorder="1" applyAlignment="1" applyProtection="1">
      <alignment horizontal="right" vertical="center"/>
    </xf>
    <xf numFmtId="1" fontId="9" fillId="4" borderId="0" xfId="1" applyNumberFormat="1" applyFont="1" applyFill="1" applyBorder="1" applyAlignment="1" applyProtection="1">
      <alignment horizontal="right"/>
    </xf>
    <xf numFmtId="2" fontId="9" fillId="4" borderId="0" xfId="1" applyNumberFormat="1" applyFont="1" applyFill="1" applyBorder="1" applyAlignment="1" applyProtection="1">
      <alignment horizontal="right" vertical="center"/>
    </xf>
    <xf numFmtId="171" fontId="9" fillId="4" borderId="0" xfId="1" applyNumberFormat="1" applyFont="1" applyFill="1" applyBorder="1" applyAlignment="1" applyProtection="1">
      <alignment horizontal="right" vertical="center"/>
    </xf>
    <xf numFmtId="165" fontId="9" fillId="4" borderId="0" xfId="1" applyNumberFormat="1" applyFont="1" applyFill="1" applyBorder="1" applyAlignment="1" applyProtection="1">
      <alignment horizontal="right" vertical="center"/>
    </xf>
    <xf numFmtId="0" fontId="9" fillId="4" borderId="0" xfId="0" applyFont="1" applyFill="1" applyBorder="1" applyAlignment="1" applyProtection="1">
      <alignment horizontal="right" vertical="center"/>
    </xf>
    <xf numFmtId="1" fontId="9" fillId="4" borderId="0" xfId="1" quotePrefix="1" applyNumberFormat="1" applyFont="1" applyFill="1" applyBorder="1" applyAlignment="1" applyProtection="1">
      <alignment horizontal="right" vertical="center"/>
    </xf>
    <xf numFmtId="0" fontId="9" fillId="4" borderId="0" xfId="1" quotePrefix="1" applyNumberFormat="1" applyFont="1" applyFill="1" applyBorder="1" applyAlignment="1" applyProtection="1">
      <alignment horizontal="right" vertical="center"/>
    </xf>
    <xf numFmtId="164" fontId="9" fillId="4" borderId="0" xfId="1" quotePrefix="1" applyNumberFormat="1" applyFont="1" applyFill="1" applyBorder="1" applyAlignment="1" applyProtection="1">
      <alignment horizontal="right" vertical="center"/>
    </xf>
    <xf numFmtId="0" fontId="9" fillId="2" borderId="1" xfId="1" applyNumberFormat="1" applyFont="1" applyFill="1" applyBorder="1" applyAlignment="1" applyProtection="1">
      <alignment horizontal="right" vertical="center"/>
    </xf>
    <xf numFmtId="0" fontId="5" fillId="4" borderId="0" xfId="0" applyFont="1" applyFill="1" applyBorder="1" applyAlignment="1" applyProtection="1">
      <alignment horizontal="center" vertical="center"/>
    </xf>
    <xf numFmtId="2" fontId="5" fillId="4" borderId="0" xfId="0" applyNumberFormat="1" applyFont="1" applyFill="1" applyAlignment="1" applyProtection="1">
      <alignment horizontal="right" vertical="center"/>
    </xf>
    <xf numFmtId="0" fontId="5" fillId="4" borderId="4" xfId="0" applyFont="1" applyFill="1" applyBorder="1" applyAlignment="1" applyProtection="1">
      <alignment horizontal="center" vertical="center"/>
    </xf>
    <xf numFmtId="0" fontId="9" fillId="2" borderId="1" xfId="0" applyFont="1" applyFill="1" applyBorder="1" applyAlignment="1" applyProtection="1">
      <alignment horizontal="center" vertical="center"/>
    </xf>
    <xf numFmtId="0" fontId="5" fillId="4" borderId="6" xfId="0" applyFont="1" applyFill="1" applyBorder="1" applyAlignment="1" applyProtection="1">
      <alignment horizontal="center" vertical="center"/>
    </xf>
    <xf numFmtId="0" fontId="22" fillId="0" borderId="0" xfId="0" applyFont="1" applyFill="1" applyAlignment="1" applyProtection="1">
      <alignment horizontal="right"/>
    </xf>
    <xf numFmtId="0" fontId="9" fillId="4" borderId="0" xfId="0" applyFont="1" applyFill="1" applyBorder="1" applyAlignment="1" applyProtection="1">
      <alignment horizontal="center" vertical="center"/>
    </xf>
    <xf numFmtId="0" fontId="5" fillId="4" borderId="4" xfId="0" applyFont="1" applyFill="1" applyBorder="1" applyAlignment="1" applyProtection="1">
      <alignment horizontal="center" vertical="center" wrapText="1"/>
    </xf>
    <xf numFmtId="2" fontId="6" fillId="3" borderId="2" xfId="0" applyNumberFormat="1" applyFont="1" applyFill="1" applyBorder="1" applyAlignment="1" applyProtection="1">
      <alignment horizontal="center" vertical="center" wrapText="1"/>
    </xf>
    <xf numFmtId="2" fontId="5" fillId="2" borderId="1" xfId="0" applyNumberFormat="1" applyFont="1" applyFill="1" applyBorder="1" applyAlignment="1" applyProtection="1">
      <alignment horizontal="right" vertical="center"/>
    </xf>
    <xf numFmtId="3" fontId="9" fillId="4" borderId="0" xfId="0" applyNumberFormat="1" applyFont="1" applyFill="1" applyBorder="1" applyAlignment="1" applyProtection="1">
      <alignment horizontal="right" vertical="center" wrapText="1"/>
    </xf>
    <xf numFmtId="3" fontId="5" fillId="4" borderId="0" xfId="0" applyNumberFormat="1" applyFont="1" applyFill="1" applyBorder="1" applyAlignment="1" applyProtection="1">
      <alignment horizontal="right" vertical="center"/>
    </xf>
    <xf numFmtId="3" fontId="9" fillId="4" borderId="0" xfId="0" applyNumberFormat="1" applyFont="1" applyFill="1" applyBorder="1" applyAlignment="1" applyProtection="1">
      <alignment horizontal="right" vertical="center"/>
    </xf>
    <xf numFmtId="164" fontId="9" fillId="4" borderId="0" xfId="1" applyNumberFormat="1" applyFont="1" applyFill="1" applyBorder="1" applyAlignment="1">
      <alignment horizontal="right" vertical="center"/>
    </xf>
    <xf numFmtId="164" fontId="5" fillId="4" borderId="4" xfId="0" applyNumberFormat="1" applyFont="1" applyFill="1" applyBorder="1" applyAlignment="1">
      <alignment horizontal="center" vertical="center" wrapText="1"/>
    </xf>
    <xf numFmtId="0" fontId="5" fillId="6" borderId="6" xfId="0" applyFont="1" applyFill="1" applyBorder="1" applyAlignment="1">
      <alignment horizontal="center" vertical="center"/>
    </xf>
    <xf numFmtId="0" fontId="3" fillId="4" borderId="0" xfId="0" applyNumberFormat="1" applyFont="1" applyFill="1" applyAlignment="1">
      <alignment vertical="center" wrapText="1"/>
    </xf>
    <xf numFmtId="164" fontId="0" fillId="0" borderId="0" xfId="0" applyNumberFormat="1"/>
    <xf numFmtId="0" fontId="14" fillId="6" borderId="6" xfId="0" applyFont="1" applyFill="1" applyBorder="1" applyAlignment="1">
      <alignment horizontal="center" vertical="center" wrapText="1"/>
    </xf>
    <xf numFmtId="2" fontId="0" fillId="0" borderId="0" xfId="0" applyNumberFormat="1"/>
    <xf numFmtId="0" fontId="60" fillId="0" borderId="24" xfId="0" applyFont="1" applyBorder="1" applyAlignment="1">
      <alignment horizontal="center"/>
    </xf>
    <xf numFmtId="0" fontId="60" fillId="0" borderId="25" xfId="0" applyFont="1" applyBorder="1" applyAlignment="1">
      <alignment horizontal="center"/>
    </xf>
    <xf numFmtId="0" fontId="60" fillId="0" borderId="28" xfId="0" applyFont="1" applyBorder="1" applyAlignment="1">
      <alignment horizontal="center"/>
    </xf>
    <xf numFmtId="3" fontId="9" fillId="2" borderId="1" xfId="0" applyNumberFormat="1" applyFont="1" applyFill="1" applyBorder="1" applyAlignment="1" applyProtection="1">
      <alignment vertical="center"/>
    </xf>
    <xf numFmtId="0" fontId="5" fillId="4" borderId="0" xfId="0" applyFont="1" applyFill="1" applyAlignment="1">
      <alignment wrapText="1"/>
    </xf>
    <xf numFmtId="0" fontId="42" fillId="0" borderId="0" xfId="0" applyFont="1" applyAlignment="1">
      <alignment horizontal="left"/>
    </xf>
    <xf numFmtId="0" fontId="43" fillId="0" borderId="0" xfId="0" applyFont="1" applyFill="1" applyBorder="1" applyAlignment="1">
      <alignment horizontal="left"/>
    </xf>
    <xf numFmtId="0" fontId="43" fillId="0" borderId="0" xfId="0" applyFont="1" applyFill="1" applyAlignment="1">
      <alignment horizontal="left"/>
    </xf>
    <xf numFmtId="0" fontId="42" fillId="4" borderId="0" xfId="0" applyFont="1" applyFill="1" applyAlignment="1">
      <alignment horizontal="left"/>
    </xf>
    <xf numFmtId="0" fontId="5" fillId="4" borderId="0" xfId="0" applyFont="1" applyFill="1" applyAlignment="1">
      <alignment horizontal="left"/>
    </xf>
    <xf numFmtId="0" fontId="5" fillId="0" borderId="0" xfId="0" applyFont="1" applyAlignment="1">
      <alignment horizontal="left"/>
    </xf>
    <xf numFmtId="0" fontId="5" fillId="0" borderId="0" xfId="0" applyFont="1" applyFill="1" applyBorder="1" applyAlignment="1">
      <alignment horizontal="left"/>
    </xf>
    <xf numFmtId="0" fontId="42" fillId="0" borderId="0" xfId="0" applyFont="1" applyFill="1" applyBorder="1" applyAlignment="1">
      <alignment horizontal="left"/>
    </xf>
    <xf numFmtId="0" fontId="22" fillId="0" borderId="0" xfId="0" applyFont="1" applyFill="1" applyBorder="1" applyAlignment="1">
      <alignment horizontal="left" vertical="center"/>
    </xf>
    <xf numFmtId="0" fontId="54" fillId="0" borderId="0" xfId="0" applyFont="1" applyAlignment="1">
      <alignment horizontal="left"/>
    </xf>
    <xf numFmtId="2" fontId="5" fillId="0" borderId="0" xfId="0" applyNumberFormat="1" applyFont="1" applyFill="1" applyBorder="1" applyAlignment="1">
      <alignment horizontal="left" vertical="center"/>
    </xf>
    <xf numFmtId="0" fontId="14" fillId="4" borderId="0" xfId="0" applyFont="1" applyFill="1" applyBorder="1" applyAlignment="1">
      <alignment horizontal="left" vertical="center" wrapText="1"/>
    </xf>
    <xf numFmtId="0" fontId="0" fillId="0" borderId="0" xfId="0" applyAlignment="1">
      <alignment horizontal="left"/>
    </xf>
    <xf numFmtId="0" fontId="38" fillId="4" borderId="0" xfId="0" applyFont="1" applyFill="1" applyBorder="1" applyAlignment="1">
      <alignment horizontal="left" vertical="center" wrapText="1"/>
    </xf>
    <xf numFmtId="0" fontId="4" fillId="0" borderId="0" xfId="0" applyFont="1" applyFill="1" applyBorder="1" applyAlignment="1">
      <alignment horizontal="left" vertical="center"/>
    </xf>
    <xf numFmtId="0" fontId="42" fillId="0" borderId="0" xfId="0" applyFont="1" applyFill="1" applyAlignment="1">
      <alignment horizontal="center"/>
    </xf>
    <xf numFmtId="164" fontId="43" fillId="0" borderId="0" xfId="0" applyNumberFormat="1" applyFont="1" applyFill="1" applyAlignment="1">
      <alignment horizontal="center"/>
    </xf>
    <xf numFmtId="0" fontId="42" fillId="4" borderId="0" xfId="0" applyFont="1" applyFill="1" applyAlignment="1">
      <alignment horizontal="center"/>
    </xf>
    <xf numFmtId="0" fontId="58" fillId="0" borderId="0" xfId="0" applyFont="1" applyAlignment="1">
      <alignment horizontal="center" vertical="center"/>
    </xf>
    <xf numFmtId="0" fontId="42" fillId="0" borderId="0" xfId="0" applyFont="1" applyFill="1" applyAlignment="1">
      <alignment wrapText="1"/>
    </xf>
    <xf numFmtId="0" fontId="43" fillId="0" borderId="0" xfId="0" applyFont="1" applyFill="1" applyAlignment="1">
      <alignment wrapText="1"/>
    </xf>
    <xf numFmtId="0" fontId="61" fillId="0" borderId="23" xfId="0" applyFont="1" applyFill="1" applyBorder="1" applyAlignment="1">
      <alignment wrapText="1"/>
    </xf>
    <xf numFmtId="0" fontId="43" fillId="0" borderId="18" xfId="0" applyFont="1" applyFill="1" applyBorder="1" applyAlignment="1">
      <alignment horizontal="right" wrapText="1"/>
    </xf>
    <xf numFmtId="0" fontId="43" fillId="0" borderId="27" xfId="0" applyFont="1" applyFill="1" applyBorder="1" applyAlignment="1">
      <alignment wrapText="1"/>
    </xf>
    <xf numFmtId="0" fontId="43" fillId="0" borderId="0" xfId="0" applyFont="1" applyAlignment="1">
      <alignment wrapText="1"/>
    </xf>
    <xf numFmtId="0" fontId="5" fillId="0" borderId="0" xfId="0" applyFont="1" applyFill="1" applyBorder="1" applyAlignment="1">
      <alignment wrapText="1"/>
    </xf>
    <xf numFmtId="0" fontId="42" fillId="0" borderId="0" xfId="0" applyFont="1" applyAlignment="1">
      <alignment wrapText="1"/>
    </xf>
    <xf numFmtId="0" fontId="58" fillId="0" borderId="0" xfId="0" applyFont="1" applyAlignment="1">
      <alignment horizontal="left" vertical="center" wrapText="1"/>
    </xf>
    <xf numFmtId="0" fontId="38" fillId="0" borderId="0" xfId="0" applyFont="1" applyAlignment="1">
      <alignment wrapText="1"/>
    </xf>
    <xf numFmtId="0" fontId="62" fillId="4" borderId="19" xfId="0" applyFont="1" applyFill="1" applyBorder="1" applyAlignment="1">
      <alignment horizontal="center" vertical="center" wrapText="1"/>
    </xf>
    <xf numFmtId="0" fontId="0" fillId="0" borderId="0" xfId="0" applyFont="1" applyFill="1" applyBorder="1" applyAlignment="1">
      <alignment horizontal="center" vertical="center"/>
    </xf>
    <xf numFmtId="10" fontId="5" fillId="0" borderId="0" xfId="0" applyNumberFormat="1" applyFont="1" applyFill="1" applyBorder="1"/>
    <xf numFmtId="0" fontId="1" fillId="0" borderId="0" xfId="0" applyFont="1" applyAlignment="1">
      <alignment vertical="center" wrapText="1"/>
    </xf>
    <xf numFmtId="0" fontId="36" fillId="0" borderId="0" xfId="0" applyFont="1" applyAlignment="1">
      <alignment vertical="center"/>
    </xf>
    <xf numFmtId="164" fontId="5" fillId="6" borderId="0" xfId="0" applyNumberFormat="1" applyFont="1" applyFill="1" applyBorder="1" applyAlignment="1" applyProtection="1">
      <alignment horizontal="right" vertical="center"/>
    </xf>
    <xf numFmtId="0" fontId="5" fillId="6" borderId="0" xfId="0" applyFont="1" applyFill="1" applyBorder="1" applyAlignment="1">
      <alignment horizontal="center" vertical="center"/>
    </xf>
    <xf numFmtId="2" fontId="0" fillId="0" borderId="0" xfId="0" applyNumberFormat="1" applyAlignment="1">
      <alignment horizontal="center"/>
    </xf>
    <xf numFmtId="2" fontId="5" fillId="0" borderId="0" xfId="0" applyNumberFormat="1" applyFont="1" applyFill="1" applyBorder="1" applyAlignment="1">
      <alignment wrapText="1"/>
    </xf>
    <xf numFmtId="10" fontId="5" fillId="0" borderId="0" xfId="0" applyNumberFormat="1" applyFont="1" applyFill="1" applyBorder="1" applyAlignment="1">
      <alignment wrapText="1"/>
    </xf>
    <xf numFmtId="0" fontId="5" fillId="0" borderId="30" xfId="0" applyFont="1" applyFill="1" applyBorder="1" applyAlignment="1">
      <alignment horizontal="left" vertical="center"/>
    </xf>
    <xf numFmtId="0" fontId="0" fillId="0" borderId="18" xfId="0" applyBorder="1"/>
    <xf numFmtId="0" fontId="0" fillId="0" borderId="25" xfId="0" applyBorder="1"/>
    <xf numFmtId="0" fontId="0" fillId="0" borderId="27" xfId="0" applyBorder="1"/>
    <xf numFmtId="0" fontId="0" fillId="0" borderId="28" xfId="0" applyBorder="1"/>
    <xf numFmtId="0" fontId="3" fillId="5" borderId="39" xfId="0" applyFont="1" applyFill="1" applyBorder="1" applyAlignment="1">
      <alignment horizontal="center" vertical="center" wrapText="1"/>
    </xf>
    <xf numFmtId="0" fontId="0" fillId="0" borderId="0" xfId="0" applyFont="1" applyBorder="1"/>
    <xf numFmtId="0" fontId="0" fillId="0" borderId="35" xfId="0" applyFont="1" applyBorder="1"/>
    <xf numFmtId="0" fontId="43" fillId="0" borderId="32" xfId="0" applyFont="1" applyFill="1" applyBorder="1" applyAlignment="1">
      <alignment horizontal="left"/>
    </xf>
    <xf numFmtId="0" fontId="3" fillId="5" borderId="40"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42" fillId="5" borderId="41" xfId="0" applyFont="1" applyFill="1" applyBorder="1"/>
    <xf numFmtId="0" fontId="9" fillId="0" borderId="18" xfId="0" applyFont="1" applyFill="1" applyBorder="1" applyAlignment="1">
      <alignment vertical="center" wrapText="1"/>
    </xf>
    <xf numFmtId="0" fontId="6" fillId="5" borderId="4" xfId="0" applyFont="1" applyFill="1" applyBorder="1" applyAlignment="1">
      <alignment horizontal="right" vertical="center" wrapText="1"/>
    </xf>
    <xf numFmtId="0" fontId="5" fillId="4" borderId="0" xfId="0" applyFont="1" applyFill="1" applyAlignment="1">
      <alignment horizontal="right" vertical="center" wrapText="1"/>
    </xf>
    <xf numFmtId="1" fontId="6" fillId="3" borderId="2" xfId="0" applyNumberFormat="1" applyFont="1" applyFill="1" applyBorder="1" applyAlignment="1" applyProtection="1">
      <alignment horizontal="right" vertical="center" wrapText="1"/>
    </xf>
    <xf numFmtId="1" fontId="5" fillId="4" borderId="0" xfId="0" applyNumberFormat="1" applyFont="1" applyFill="1" applyAlignment="1" applyProtection="1">
      <alignment horizontal="right" vertical="center"/>
    </xf>
    <xf numFmtId="0" fontId="5" fillId="2" borderId="1" xfId="4" applyNumberFormat="1" applyFont="1" applyFill="1" applyBorder="1" applyAlignment="1" applyProtection="1">
      <alignment horizontal="right" vertical="center"/>
    </xf>
    <xf numFmtId="2" fontId="3" fillId="5" borderId="4" xfId="0" applyNumberFormat="1" applyFont="1" applyFill="1" applyBorder="1" applyAlignment="1" applyProtection="1">
      <alignment horizontal="right" vertical="center" wrapText="1"/>
    </xf>
    <xf numFmtId="2" fontId="5" fillId="4" borderId="0" xfId="1" applyNumberFormat="1" applyFont="1" applyFill="1" applyAlignment="1" applyProtection="1">
      <alignment horizontal="right" vertical="center" wrapText="1"/>
    </xf>
    <xf numFmtId="1" fontId="9" fillId="4" borderId="0" xfId="0" applyNumberFormat="1" applyFont="1" applyFill="1" applyBorder="1" applyAlignment="1" applyProtection="1">
      <alignment horizontal="right" vertical="center" wrapText="1"/>
    </xf>
    <xf numFmtId="0" fontId="9" fillId="2" borderId="1" xfId="0" applyFont="1" applyFill="1" applyBorder="1" applyAlignment="1" applyProtection="1">
      <alignment horizontal="right" vertical="center"/>
      <protection locked="0"/>
    </xf>
    <xf numFmtId="2" fontId="9" fillId="6" borderId="2" xfId="0" applyNumberFormat="1" applyFont="1" applyFill="1" applyBorder="1" applyAlignment="1" applyProtection="1">
      <alignment horizontal="right" vertical="center"/>
    </xf>
    <xf numFmtId="0" fontId="3" fillId="5" borderId="4" xfId="0" applyFont="1" applyFill="1" applyBorder="1" applyAlignment="1" applyProtection="1">
      <alignment horizontal="right" vertical="center" wrapText="1"/>
    </xf>
    <xf numFmtId="0" fontId="6" fillId="4" borderId="0" xfId="0" applyFont="1" applyFill="1" applyBorder="1" applyAlignment="1" applyProtection="1">
      <alignment horizontal="right" vertical="center" wrapText="1"/>
    </xf>
    <xf numFmtId="0" fontId="7" fillId="4" borderId="0" xfId="0" applyFont="1" applyFill="1" applyBorder="1" applyAlignment="1" applyProtection="1">
      <alignment horizontal="right" vertical="center"/>
    </xf>
    <xf numFmtId="0" fontId="5" fillId="0" borderId="0" xfId="0" applyFont="1" applyAlignment="1" applyProtection="1">
      <alignment horizontal="right" vertical="center"/>
    </xf>
    <xf numFmtId="164" fontId="5" fillId="4" borderId="0" xfId="0" applyNumberFormat="1" applyFont="1" applyFill="1" applyBorder="1" applyAlignment="1" applyProtection="1">
      <alignment horizontal="right" vertical="center"/>
    </xf>
    <xf numFmtId="0" fontId="5" fillId="0" borderId="0" xfId="0" applyFont="1" applyFill="1" applyAlignment="1" applyProtection="1">
      <alignment horizontal="right" vertical="center"/>
    </xf>
    <xf numFmtId="0" fontId="9" fillId="4" borderId="0" xfId="0" applyFont="1" applyFill="1" applyAlignment="1" applyProtection="1">
      <alignment horizontal="right" vertical="center"/>
    </xf>
    <xf numFmtId="166" fontId="9" fillId="4" borderId="0" xfId="0" applyNumberFormat="1" applyFont="1" applyFill="1" applyBorder="1" applyAlignment="1" applyProtection="1">
      <alignment horizontal="right" vertical="center"/>
    </xf>
    <xf numFmtId="166" fontId="5" fillId="4" borderId="0" xfId="0" applyNumberFormat="1" applyFont="1" applyFill="1" applyBorder="1" applyAlignment="1" applyProtection="1">
      <alignment horizontal="right" vertical="center"/>
    </xf>
    <xf numFmtId="165" fontId="9" fillId="4" borderId="0" xfId="0" applyNumberFormat="1" applyFont="1" applyFill="1" applyBorder="1" applyAlignment="1" applyProtection="1">
      <alignment horizontal="right" vertical="center"/>
    </xf>
    <xf numFmtId="2" fontId="9" fillId="4" borderId="9" xfId="0" applyNumberFormat="1" applyFont="1" applyFill="1" applyBorder="1" applyAlignment="1" applyProtection="1">
      <alignment horizontal="right" vertical="center"/>
    </xf>
    <xf numFmtId="0" fontId="9" fillId="4" borderId="9" xfId="0" applyFont="1" applyFill="1" applyBorder="1" applyAlignment="1" applyProtection="1">
      <alignment horizontal="right" vertical="center"/>
    </xf>
    <xf numFmtId="170" fontId="9" fillId="4" borderId="0" xfId="0" applyNumberFormat="1" applyFont="1" applyFill="1" applyBorder="1" applyAlignment="1" applyProtection="1">
      <alignment horizontal="right" vertical="center"/>
    </xf>
    <xf numFmtId="164" fontId="9" fillId="4" borderId="0" xfId="0" applyNumberFormat="1" applyFont="1" applyFill="1" applyAlignment="1" applyProtection="1">
      <alignment horizontal="right" vertical="center"/>
    </xf>
    <xf numFmtId="0" fontId="9" fillId="4" borderId="0" xfId="0" quotePrefix="1" applyFont="1" applyFill="1" applyAlignment="1" applyProtection="1">
      <alignment horizontal="right" vertical="center"/>
    </xf>
    <xf numFmtId="1" fontId="9" fillId="4" borderId="0" xfId="0" applyNumberFormat="1" applyFont="1" applyFill="1" applyAlignment="1" applyProtection="1">
      <alignment horizontal="right" vertical="center"/>
    </xf>
    <xf numFmtId="3" fontId="9" fillId="4" borderId="0" xfId="0" applyNumberFormat="1" applyFont="1" applyFill="1" applyAlignment="1" applyProtection="1">
      <alignment horizontal="right" vertical="center"/>
    </xf>
    <xf numFmtId="165" fontId="9" fillId="4" borderId="0" xfId="0" applyNumberFormat="1" applyFont="1" applyFill="1" applyAlignment="1" applyProtection="1">
      <alignment horizontal="right" vertical="center"/>
    </xf>
    <xf numFmtId="164" fontId="9" fillId="6" borderId="2" xfId="0" applyNumberFormat="1" applyFont="1" applyFill="1" applyBorder="1" applyAlignment="1" applyProtection="1">
      <alignment horizontal="right" vertical="center"/>
    </xf>
    <xf numFmtId="2" fontId="5" fillId="6" borderId="2" xfId="0" applyNumberFormat="1" applyFont="1" applyFill="1" applyBorder="1" applyAlignment="1" applyProtection="1">
      <alignment horizontal="right" vertical="center"/>
    </xf>
    <xf numFmtId="0" fontId="5" fillId="4" borderId="0" xfId="0" applyFont="1" applyFill="1" applyBorder="1" applyAlignment="1">
      <alignment horizontal="right" vertical="center"/>
    </xf>
    <xf numFmtId="2" fontId="5" fillId="6" borderId="2" xfId="0" applyNumberFormat="1" applyFont="1" applyFill="1" applyBorder="1" applyAlignment="1">
      <alignment horizontal="right" vertical="center"/>
    </xf>
    <xf numFmtId="0" fontId="5" fillId="0" borderId="0" xfId="0" applyFont="1" applyAlignment="1">
      <alignment horizontal="right" vertical="center"/>
    </xf>
    <xf numFmtId="0" fontId="0" fillId="0" borderId="0" xfId="0" applyAlignment="1">
      <alignment horizontal="right" vertical="center"/>
    </xf>
    <xf numFmtId="0" fontId="3" fillId="5" borderId="4" xfId="0" applyFont="1" applyFill="1" applyBorder="1" applyAlignment="1">
      <alignment horizontal="right" vertical="center" wrapText="1"/>
    </xf>
    <xf numFmtId="0" fontId="5" fillId="4" borderId="0" xfId="0" applyFont="1" applyFill="1" applyAlignment="1">
      <alignment horizontal="right" vertical="center"/>
    </xf>
    <xf numFmtId="0" fontId="9" fillId="4" borderId="0" xfId="0" applyFont="1" applyFill="1" applyBorder="1" applyAlignment="1">
      <alignment horizontal="right" vertical="center" wrapText="1"/>
    </xf>
    <xf numFmtId="0" fontId="0" fillId="0" borderId="0" xfId="0" applyFill="1" applyAlignment="1">
      <alignment horizontal="right"/>
    </xf>
    <xf numFmtId="0" fontId="9" fillId="4" borderId="0" xfId="0" applyFont="1" applyFill="1" applyAlignment="1" applyProtection="1">
      <alignment horizontal="right" vertical="center" wrapText="1"/>
    </xf>
    <xf numFmtId="3" fontId="5" fillId="4" borderId="0" xfId="0" applyNumberFormat="1" applyFont="1" applyFill="1" applyAlignment="1" applyProtection="1">
      <alignment horizontal="right" vertical="center"/>
    </xf>
    <xf numFmtId="0" fontId="5" fillId="6" borderId="2" xfId="0" applyFont="1" applyFill="1" applyBorder="1" applyAlignment="1" applyProtection="1">
      <alignment horizontal="right" vertical="center"/>
    </xf>
    <xf numFmtId="0" fontId="5" fillId="4" borderId="0" xfId="0" applyFont="1" applyFill="1" applyAlignment="1" applyProtection="1">
      <alignment horizontal="right" vertical="center" wrapText="1"/>
    </xf>
    <xf numFmtId="3" fontId="6" fillId="2" borderId="1" xfId="0" applyNumberFormat="1" applyFont="1" applyFill="1" applyBorder="1" applyAlignment="1" applyProtection="1">
      <alignment horizontal="right" vertical="center" wrapText="1"/>
    </xf>
    <xf numFmtId="0" fontId="5" fillId="0" borderId="0" xfId="0" applyFont="1" applyFill="1" applyBorder="1" applyAlignment="1" applyProtection="1">
      <alignment horizontal="right" vertical="center"/>
    </xf>
    <xf numFmtId="2" fontId="5" fillId="3" borderId="0" xfId="0" applyNumberFormat="1" applyFont="1" applyFill="1" applyBorder="1" applyAlignment="1" applyProtection="1">
      <alignment horizontal="right" vertical="center"/>
    </xf>
    <xf numFmtId="0" fontId="5" fillId="0" borderId="0" xfId="0" applyFont="1" applyBorder="1" applyAlignment="1" applyProtection="1">
      <alignment horizontal="right"/>
    </xf>
    <xf numFmtId="0" fontId="9" fillId="2" borderId="1" xfId="0" applyFont="1" applyFill="1" applyBorder="1" applyAlignment="1" applyProtection="1">
      <alignment horizontal="right" vertical="center"/>
    </xf>
    <xf numFmtId="0" fontId="9" fillId="4" borderId="0" xfId="0" applyFont="1" applyFill="1" applyAlignment="1">
      <alignment horizontal="right" vertical="center" wrapText="1"/>
    </xf>
    <xf numFmtId="0" fontId="5" fillId="6" borderId="22" xfId="0" applyFont="1" applyFill="1" applyBorder="1" applyAlignment="1" applyProtection="1">
      <alignment horizontal="right" vertical="center"/>
    </xf>
    <xf numFmtId="0" fontId="9" fillId="0" borderId="0" xfId="0" applyFont="1" applyAlignment="1">
      <alignment horizontal="right"/>
    </xf>
    <xf numFmtId="0" fontId="5" fillId="0" borderId="0" xfId="0" applyFont="1" applyAlignment="1">
      <alignment horizontal="right"/>
    </xf>
    <xf numFmtId="0" fontId="5" fillId="0" borderId="0" xfId="0" applyFont="1" applyAlignment="1" applyProtection="1">
      <alignment horizontal="right"/>
    </xf>
    <xf numFmtId="0" fontId="5" fillId="4" borderId="4" xfId="0" applyFont="1" applyFill="1" applyBorder="1" applyAlignment="1" applyProtection="1">
      <alignment horizontal="right" vertical="center"/>
    </xf>
    <xf numFmtId="0" fontId="3" fillId="4" borderId="0" xfId="0" applyFont="1" applyFill="1" applyAlignment="1">
      <alignment horizontal="right" vertical="center" wrapText="1"/>
    </xf>
    <xf numFmtId="0" fontId="6" fillId="5" borderId="4" xfId="0" applyFont="1" applyFill="1" applyBorder="1" applyAlignment="1" applyProtection="1">
      <alignment horizontal="right" vertical="center" wrapText="1"/>
    </xf>
    <xf numFmtId="166" fontId="9" fillId="4" borderId="0" xfId="0" applyNumberFormat="1" applyFont="1" applyFill="1" applyAlignment="1" applyProtection="1">
      <alignment horizontal="right" vertical="center"/>
    </xf>
    <xf numFmtId="2" fontId="9" fillId="4" borderId="0" xfId="0" applyNumberFormat="1" applyFont="1" applyFill="1" applyAlignment="1" applyProtection="1">
      <alignment horizontal="right" vertical="center"/>
    </xf>
    <xf numFmtId="1" fontId="5" fillId="2" borderId="1" xfId="0" applyNumberFormat="1" applyFont="1" applyFill="1" applyBorder="1" applyAlignment="1" applyProtection="1">
      <alignment horizontal="right" vertical="center"/>
    </xf>
    <xf numFmtId="166" fontId="5" fillId="4" borderId="0" xfId="0" applyNumberFormat="1" applyFont="1" applyFill="1" applyAlignment="1">
      <alignment horizontal="right" vertical="center"/>
    </xf>
    <xf numFmtId="164" fontId="5" fillId="4" borderId="0" xfId="0" applyNumberFormat="1" applyFont="1" applyFill="1" applyAlignment="1">
      <alignment horizontal="right" vertical="center"/>
    </xf>
    <xf numFmtId="0" fontId="9" fillId="4" borderId="0" xfId="0" applyFont="1" applyFill="1" applyBorder="1" applyAlignment="1">
      <alignment horizontal="right" vertical="center"/>
    </xf>
    <xf numFmtId="0" fontId="9" fillId="4" borderId="0" xfId="0" applyFont="1" applyFill="1" applyAlignment="1">
      <alignment horizontal="right" vertical="center"/>
    </xf>
    <xf numFmtId="2" fontId="9" fillId="4" borderId="0" xfId="0" applyNumberFormat="1" applyFont="1" applyFill="1" applyAlignment="1">
      <alignment horizontal="right" vertical="center"/>
    </xf>
    <xf numFmtId="164" fontId="9" fillId="4" borderId="0" xfId="0" applyNumberFormat="1" applyFont="1" applyFill="1" applyAlignment="1">
      <alignment horizontal="right" vertical="center"/>
    </xf>
    <xf numFmtId="2" fontId="5" fillId="3" borderId="0" xfId="0" applyNumberFormat="1" applyFont="1" applyFill="1" applyAlignment="1">
      <alignment horizontal="right" vertical="center"/>
    </xf>
    <xf numFmtId="169" fontId="5" fillId="4" borderId="0" xfId="0" applyNumberFormat="1" applyFont="1" applyFill="1" applyAlignment="1">
      <alignment horizontal="right" vertical="center"/>
    </xf>
    <xf numFmtId="2" fontId="5" fillId="4" borderId="0" xfId="0" applyNumberFormat="1" applyFont="1" applyFill="1" applyAlignment="1">
      <alignment horizontal="right" vertical="center"/>
    </xf>
    <xf numFmtId="1" fontId="5" fillId="4" borderId="0" xfId="0" applyNumberFormat="1" applyFont="1" applyFill="1" applyAlignment="1">
      <alignment horizontal="right" vertical="center"/>
    </xf>
    <xf numFmtId="2" fontId="5" fillId="4" borderId="0" xfId="0" applyNumberFormat="1" applyFont="1" applyFill="1" applyBorder="1" applyAlignment="1">
      <alignment horizontal="right" vertical="center"/>
    </xf>
    <xf numFmtId="172" fontId="9" fillId="4" borderId="0" xfId="1" applyNumberFormat="1" applyFont="1" applyFill="1" applyBorder="1" applyAlignment="1">
      <alignment horizontal="right" vertical="center"/>
    </xf>
    <xf numFmtId="2" fontId="9" fillId="4" borderId="0" xfId="1" applyNumberFormat="1" applyFont="1" applyFill="1" applyBorder="1" applyAlignment="1">
      <alignment horizontal="right" vertical="center"/>
    </xf>
    <xf numFmtId="1" fontId="9" fillId="4" borderId="0" xfId="1" applyNumberFormat="1" applyFont="1" applyFill="1" applyBorder="1" applyAlignment="1">
      <alignment horizontal="right" vertical="center"/>
    </xf>
    <xf numFmtId="166" fontId="9" fillId="4" borderId="0" xfId="1" applyNumberFormat="1" applyFont="1" applyFill="1" applyBorder="1" applyAlignment="1">
      <alignment horizontal="right" vertical="center"/>
    </xf>
    <xf numFmtId="167" fontId="9" fillId="0" borderId="0" xfId="1" applyNumberFormat="1" applyFont="1" applyFill="1" applyBorder="1" applyAlignment="1">
      <alignment horizontal="right" vertical="center"/>
    </xf>
    <xf numFmtId="167" fontId="9" fillId="4" borderId="0" xfId="1" applyNumberFormat="1" applyFont="1" applyFill="1" applyBorder="1" applyAlignment="1">
      <alignment horizontal="right" vertical="center"/>
    </xf>
    <xf numFmtId="1" fontId="9" fillId="4" borderId="0" xfId="0" applyNumberFormat="1" applyFont="1" applyFill="1" applyBorder="1" applyAlignment="1">
      <alignment horizontal="right" vertical="center"/>
    </xf>
    <xf numFmtId="166" fontId="9" fillId="4" borderId="0" xfId="0" applyNumberFormat="1" applyFont="1" applyFill="1" applyBorder="1" applyAlignment="1">
      <alignment horizontal="right" vertical="center"/>
    </xf>
    <xf numFmtId="0" fontId="9" fillId="0" borderId="0" xfId="0" applyFont="1" applyAlignment="1" applyProtection="1">
      <alignment horizontal="center"/>
    </xf>
    <xf numFmtId="0" fontId="0" fillId="0" borderId="0" xfId="0" applyAlignment="1" applyProtection="1">
      <alignment horizontal="center"/>
    </xf>
    <xf numFmtId="0" fontId="9" fillId="0" borderId="0" xfId="0" applyFont="1" applyAlignment="1">
      <alignment horizontal="center"/>
    </xf>
    <xf numFmtId="0" fontId="51" fillId="0" borderId="25" xfId="0" applyFont="1" applyBorder="1" applyAlignment="1">
      <alignment vertical="top" wrapText="1"/>
    </xf>
    <xf numFmtId="2" fontId="5" fillId="0" borderId="0" xfId="0" applyNumberFormat="1" applyFont="1" applyFill="1" applyBorder="1" applyAlignment="1">
      <alignment horizontal="right" vertical="center"/>
    </xf>
    <xf numFmtId="2" fontId="14" fillId="0" borderId="0" xfId="0" applyNumberFormat="1" applyFont="1" applyFill="1" applyBorder="1" applyAlignment="1">
      <alignment horizontal="right" vertical="center" wrapText="1"/>
    </xf>
    <xf numFmtId="2" fontId="5" fillId="0" borderId="0" xfId="0" applyNumberFormat="1" applyFont="1" applyFill="1" applyBorder="1" applyAlignment="1">
      <alignment horizontal="right"/>
    </xf>
    <xf numFmtId="2" fontId="42" fillId="0" borderId="0" xfId="0" applyNumberFormat="1" applyFont="1" applyFill="1" applyBorder="1" applyAlignment="1">
      <alignment horizontal="right"/>
    </xf>
    <xf numFmtId="2" fontId="43" fillId="0" borderId="0" xfId="0" applyNumberFormat="1" applyFont="1" applyFill="1" applyBorder="1" applyAlignment="1">
      <alignment horizontal="right"/>
    </xf>
    <xf numFmtId="2" fontId="3" fillId="0" borderId="0" xfId="0" applyNumberFormat="1" applyFont="1" applyFill="1" applyBorder="1" applyAlignment="1">
      <alignment horizontal="right" vertical="center" wrapText="1"/>
    </xf>
    <xf numFmtId="2" fontId="54" fillId="0" borderId="0" xfId="0" applyNumberFormat="1" applyFont="1" applyAlignment="1">
      <alignment horizontal="right"/>
    </xf>
    <xf numFmtId="2" fontId="14" fillId="4" borderId="0" xfId="0" applyNumberFormat="1" applyFont="1" applyFill="1" applyBorder="1" applyAlignment="1">
      <alignment horizontal="right" vertical="center" wrapText="1"/>
    </xf>
    <xf numFmtId="2" fontId="38" fillId="4" borderId="0" xfId="0" applyNumberFormat="1" applyFont="1" applyFill="1" applyBorder="1" applyAlignment="1">
      <alignment horizontal="right" vertical="center" wrapText="1"/>
    </xf>
    <xf numFmtId="2" fontId="38" fillId="0" borderId="0" xfId="0" applyNumberFormat="1" applyFont="1" applyFill="1" applyBorder="1" applyAlignment="1">
      <alignment horizontal="right" vertical="center" wrapText="1"/>
    </xf>
    <xf numFmtId="0" fontId="5" fillId="4" borderId="40" xfId="0" applyFont="1" applyFill="1" applyBorder="1"/>
    <xf numFmtId="0" fontId="5" fillId="4" borderId="41" xfId="0" applyFont="1" applyFill="1" applyBorder="1"/>
    <xf numFmtId="0" fontId="9" fillId="4" borderId="14" xfId="0" applyFont="1" applyFill="1" applyBorder="1"/>
    <xf numFmtId="0" fontId="9" fillId="4" borderId="15" xfId="0" applyFont="1" applyFill="1" applyBorder="1" applyAlignment="1">
      <alignment vertical="justify"/>
    </xf>
    <xf numFmtId="0" fontId="5" fillId="5" borderId="3" xfId="0" applyFont="1" applyFill="1" applyBorder="1" applyAlignment="1">
      <alignment horizontal="center" vertical="center"/>
    </xf>
    <xf numFmtId="0" fontId="5" fillId="5" borderId="19" xfId="0" applyFont="1" applyFill="1" applyBorder="1" applyAlignment="1">
      <alignment horizontal="center" vertical="center"/>
    </xf>
    <xf numFmtId="2" fontId="0" fillId="0" borderId="0" xfId="0" applyNumberFormat="1" applyAlignment="1">
      <alignment horizontal="right"/>
    </xf>
    <xf numFmtId="2" fontId="62" fillId="4" borderId="4" xfId="0" applyNumberFormat="1" applyFont="1" applyFill="1" applyBorder="1" applyAlignment="1">
      <alignment horizontal="right" vertical="center" wrapText="1"/>
    </xf>
    <xf numFmtId="2" fontId="42" fillId="0" borderId="0" xfId="0" applyNumberFormat="1" applyFont="1" applyFill="1" applyAlignment="1">
      <alignment horizontal="right"/>
    </xf>
    <xf numFmtId="2" fontId="0" fillId="0" borderId="24" xfId="0" applyNumberFormat="1" applyBorder="1" applyAlignment="1">
      <alignment horizontal="right"/>
    </xf>
    <xf numFmtId="2" fontId="43" fillId="0" borderId="25" xfId="0" applyNumberFormat="1" applyFont="1" applyFill="1" applyBorder="1" applyAlignment="1">
      <alignment horizontal="right"/>
    </xf>
    <xf numFmtId="2" fontId="43" fillId="0" borderId="28" xfId="0" applyNumberFormat="1" applyFont="1" applyFill="1" applyBorder="1" applyAlignment="1">
      <alignment horizontal="right"/>
    </xf>
    <xf numFmtId="2" fontId="42" fillId="4" borderId="0" xfId="0" applyNumberFormat="1" applyFont="1" applyFill="1" applyAlignment="1">
      <alignment horizontal="right" wrapText="1"/>
    </xf>
    <xf numFmtId="2" fontId="3" fillId="5" borderId="40" xfId="0" applyNumberFormat="1" applyFont="1" applyFill="1" applyBorder="1" applyAlignment="1">
      <alignment horizontal="right" vertical="center" wrapText="1"/>
    </xf>
    <xf numFmtId="2" fontId="42" fillId="0" borderId="0" xfId="0" applyNumberFormat="1" applyFont="1" applyAlignment="1">
      <alignment horizontal="right"/>
    </xf>
    <xf numFmtId="2" fontId="58" fillId="0" borderId="0" xfId="0" applyNumberFormat="1" applyFont="1" applyAlignment="1">
      <alignment horizontal="right" vertical="center"/>
    </xf>
    <xf numFmtId="2" fontId="5" fillId="4" borderId="0" xfId="0" applyNumberFormat="1" applyFont="1" applyFill="1" applyAlignment="1">
      <alignment horizontal="right"/>
    </xf>
    <xf numFmtId="2" fontId="5" fillId="0" borderId="0" xfId="0" applyNumberFormat="1" applyFont="1" applyFill="1" applyAlignment="1">
      <alignment horizontal="right" vertical="center"/>
    </xf>
    <xf numFmtId="2" fontId="5" fillId="0" borderId="0" xfId="0" applyNumberFormat="1" applyFont="1" applyAlignment="1">
      <alignment horizontal="right"/>
    </xf>
    <xf numFmtId="2" fontId="4" fillId="0" borderId="0" xfId="0" applyNumberFormat="1" applyFont="1" applyFill="1" applyBorder="1" applyAlignment="1">
      <alignment horizontal="right" vertical="center"/>
    </xf>
    <xf numFmtId="0" fontId="5" fillId="4" borderId="0" xfId="0" applyFont="1" applyFill="1" applyBorder="1" applyAlignment="1">
      <alignment horizontal="center"/>
    </xf>
    <xf numFmtId="0" fontId="7" fillId="4" borderId="12" xfId="0" applyFont="1" applyFill="1" applyBorder="1"/>
    <xf numFmtId="0" fontId="7" fillId="4" borderId="0" xfId="0" applyFont="1" applyFill="1" applyBorder="1"/>
    <xf numFmtId="0" fontId="3" fillId="4" borderId="0" xfId="0" applyFont="1" applyFill="1" applyBorder="1" applyAlignment="1">
      <alignment horizontal="center" vertical="center" wrapText="1"/>
    </xf>
    <xf numFmtId="0" fontId="5" fillId="4" borderId="4" xfId="0" applyFont="1" applyFill="1" applyBorder="1" applyAlignment="1" applyProtection="1">
      <alignment horizontal="center" vertical="center" wrapText="1"/>
      <protection locked="0"/>
    </xf>
    <xf numFmtId="0" fontId="3" fillId="5" borderId="7" xfId="0" applyFont="1" applyFill="1" applyBorder="1" applyAlignment="1">
      <alignment horizontal="center" vertical="center" wrapText="1"/>
    </xf>
    <xf numFmtId="0" fontId="0" fillId="0" borderId="0" xfId="0"/>
    <xf numFmtId="0" fontId="3" fillId="5" borderId="3"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9" fillId="4" borderId="40" xfId="0" applyFont="1" applyFill="1" applyBorder="1" applyAlignment="1">
      <alignment horizontal="left" vertical="center" wrapText="1"/>
    </xf>
    <xf numFmtId="0" fontId="5" fillId="3" borderId="14" xfId="0" applyFont="1" applyFill="1" applyBorder="1" applyAlignment="1">
      <alignment horizontal="center" vertical="center"/>
    </xf>
    <xf numFmtId="0" fontId="3" fillId="3" borderId="0" xfId="0" applyFont="1" applyFill="1" applyBorder="1" applyAlignment="1">
      <alignment horizontal="center" vertical="center" wrapText="1"/>
    </xf>
    <xf numFmtId="1" fontId="6" fillId="3" borderId="15" xfId="0" applyNumberFormat="1" applyFont="1" applyFill="1" applyBorder="1" applyAlignment="1" applyProtection="1">
      <alignment horizontal="center" vertical="center" wrapText="1"/>
    </xf>
    <xf numFmtId="0" fontId="5" fillId="4" borderId="14" xfId="0" applyFont="1" applyFill="1" applyBorder="1" applyAlignment="1">
      <alignment vertical="center" wrapText="1"/>
    </xf>
    <xf numFmtId="43" fontId="5" fillId="4" borderId="0" xfId="1" applyFont="1" applyFill="1" applyBorder="1" applyAlignment="1">
      <alignment horizontal="center"/>
    </xf>
    <xf numFmtId="3" fontId="5" fillId="4" borderId="0" xfId="0" applyNumberFormat="1" applyFont="1" applyFill="1" applyBorder="1" applyAlignment="1">
      <alignment horizontal="center"/>
    </xf>
    <xf numFmtId="0" fontId="0" fillId="4" borderId="0" xfId="0" applyFill="1" applyBorder="1"/>
    <xf numFmtId="0" fontId="3" fillId="4" borderId="15" xfId="0" applyFont="1" applyFill="1" applyBorder="1" applyAlignment="1">
      <alignment horizontal="left" vertical="center" wrapText="1"/>
    </xf>
    <xf numFmtId="2" fontId="5" fillId="4" borderId="0" xfId="0" applyNumberFormat="1" applyFont="1" applyFill="1" applyBorder="1" applyAlignment="1">
      <alignment horizontal="center"/>
    </xf>
    <xf numFmtId="0" fontId="5" fillId="4" borderId="15" xfId="0" applyFont="1" applyFill="1" applyBorder="1" applyAlignment="1">
      <alignment vertical="center" wrapText="1"/>
    </xf>
    <xf numFmtId="0" fontId="0" fillId="4" borderId="15" xfId="0" applyFill="1" applyBorder="1"/>
    <xf numFmtId="0" fontId="5" fillId="4" borderId="15" xfId="0" applyFont="1" applyFill="1" applyBorder="1"/>
    <xf numFmtId="2" fontId="5" fillId="4" borderId="0" xfId="4" applyNumberFormat="1" applyFont="1" applyFill="1" applyBorder="1" applyAlignment="1">
      <alignment horizontal="center"/>
    </xf>
    <xf numFmtId="0" fontId="5" fillId="4" borderId="14" xfId="0" applyFont="1" applyFill="1" applyBorder="1" applyAlignment="1">
      <alignment horizontal="left" vertical="center"/>
    </xf>
    <xf numFmtId="0" fontId="4" fillId="4" borderId="15" xfId="0" applyFont="1" applyFill="1" applyBorder="1" applyAlignment="1">
      <alignment horizontal="left" vertical="center" wrapText="1"/>
    </xf>
    <xf numFmtId="0" fontId="5" fillId="6" borderId="22" xfId="0" applyFont="1" applyFill="1" applyBorder="1" applyAlignment="1">
      <alignment vertical="center" wrapText="1"/>
    </xf>
    <xf numFmtId="2" fontId="6" fillId="3" borderId="16" xfId="0" applyNumberFormat="1" applyFont="1" applyFill="1" applyBorder="1" applyAlignment="1" applyProtection="1">
      <alignment horizontal="center" vertical="center" wrapText="1"/>
    </xf>
    <xf numFmtId="2" fontId="6" fillId="3" borderId="6" xfId="0" applyNumberFormat="1" applyFont="1" applyFill="1" applyBorder="1" applyAlignment="1" applyProtection="1">
      <alignment horizontal="center" vertical="center" wrapText="1"/>
    </xf>
    <xf numFmtId="2" fontId="9" fillId="0" borderId="0" xfId="0" applyNumberFormat="1" applyFont="1" applyProtection="1"/>
    <xf numFmtId="0" fontId="9" fillId="6" borderId="6" xfId="0" applyFont="1" applyFill="1" applyBorder="1" applyAlignment="1">
      <alignment vertical="top" wrapText="1"/>
    </xf>
    <xf numFmtId="0" fontId="4" fillId="0" borderId="0" xfId="0" applyFont="1" applyFill="1" applyBorder="1" applyAlignment="1">
      <alignment horizontal="center" vertical="center" wrapText="1"/>
    </xf>
    <xf numFmtId="0" fontId="66" fillId="0" borderId="0" xfId="0" applyFont="1" applyBorder="1" applyAlignment="1">
      <alignment horizontal="center" vertical="center"/>
    </xf>
    <xf numFmtId="0" fontId="66" fillId="0" borderId="0" xfId="0" applyFont="1" applyAlignment="1">
      <alignment horizontal="center" vertical="center"/>
    </xf>
    <xf numFmtId="0" fontId="68" fillId="0" borderId="0" xfId="0" applyFont="1"/>
    <xf numFmtId="0" fontId="69" fillId="0" borderId="0" xfId="0" applyFont="1"/>
    <xf numFmtId="0" fontId="70" fillId="0" borderId="0" xfId="0" applyFont="1" applyAlignment="1">
      <alignment wrapText="1"/>
    </xf>
    <xf numFmtId="0" fontId="71" fillId="0" borderId="0" xfId="0" applyFont="1"/>
    <xf numFmtId="0" fontId="0" fillId="0" borderId="0" xfId="0" applyFill="1" applyAlignment="1">
      <alignment horizontal="center" vertical="center"/>
    </xf>
    <xf numFmtId="0" fontId="5" fillId="0" borderId="18" xfId="0" applyFont="1" applyFill="1" applyBorder="1" applyAlignment="1">
      <alignment horizontal="left" vertical="center" wrapText="1"/>
    </xf>
    <xf numFmtId="0" fontId="9" fillId="4" borderId="15" xfId="0" applyFont="1" applyFill="1" applyBorder="1" applyAlignment="1">
      <alignment horizontal="left" vertical="center"/>
    </xf>
    <xf numFmtId="0" fontId="9" fillId="4" borderId="15" xfId="0" applyFont="1" applyFill="1" applyBorder="1" applyAlignment="1">
      <alignment horizontal="left" vertical="center" wrapText="1"/>
    </xf>
    <xf numFmtId="2" fontId="9" fillId="4" borderId="15" xfId="0" applyNumberFormat="1" applyFont="1" applyFill="1" applyBorder="1" applyAlignment="1">
      <alignment vertical="center"/>
    </xf>
    <xf numFmtId="0" fontId="9" fillId="4" borderId="14" xfId="0" applyFont="1" applyFill="1" applyBorder="1" applyAlignment="1" applyProtection="1">
      <alignment horizontal="left" vertical="center"/>
      <protection locked="0"/>
    </xf>
    <xf numFmtId="0" fontId="9" fillId="4" borderId="15" xfId="0" applyFont="1" applyFill="1" applyBorder="1" applyAlignment="1" applyProtection="1">
      <alignment vertical="center"/>
      <protection locked="0"/>
    </xf>
    <xf numFmtId="0" fontId="9" fillId="4" borderId="14" xfId="0" applyFont="1" applyFill="1" applyBorder="1" applyAlignment="1">
      <alignment vertical="center" wrapText="1"/>
    </xf>
    <xf numFmtId="0" fontId="9" fillId="4" borderId="14" xfId="0" applyFont="1" applyFill="1" applyBorder="1" applyAlignment="1">
      <alignment horizontal="left" vertical="center" wrapText="1"/>
    </xf>
    <xf numFmtId="0" fontId="5" fillId="4" borderId="16" xfId="0" applyFont="1" applyFill="1" applyBorder="1" applyAlignment="1">
      <alignment vertical="center"/>
    </xf>
    <xf numFmtId="0" fontId="9" fillId="4" borderId="6" xfId="0" applyNumberFormat="1" applyFont="1" applyFill="1" applyBorder="1" applyAlignment="1" applyProtection="1">
      <alignment horizontal="right" vertical="center"/>
    </xf>
    <xf numFmtId="0" fontId="9" fillId="4" borderId="6" xfId="0" applyFont="1" applyFill="1" applyBorder="1" applyAlignment="1">
      <alignment horizontal="left" vertical="center"/>
    </xf>
    <xf numFmtId="0" fontId="3" fillId="5" borderId="4" xfId="0" applyFont="1" applyFill="1" applyBorder="1" applyAlignment="1">
      <alignment vertical="center" wrapText="1"/>
    </xf>
    <xf numFmtId="0" fontId="3" fillId="5" borderId="19" xfId="0" applyFont="1" applyFill="1" applyBorder="1" applyAlignment="1">
      <alignment vertical="center" wrapText="1"/>
    </xf>
    <xf numFmtId="0" fontId="5" fillId="0" borderId="18" xfId="0" applyFont="1" applyFill="1" applyBorder="1" applyAlignment="1">
      <alignment vertical="center" wrapText="1"/>
    </xf>
    <xf numFmtId="0" fontId="0" fillId="0" borderId="0" xfId="0" applyFill="1" applyAlignment="1">
      <alignment horizontal="left" wrapText="1"/>
    </xf>
    <xf numFmtId="167" fontId="9" fillId="0" borderId="0" xfId="1" applyNumberFormat="1" applyFont="1" applyFill="1" applyBorder="1" applyAlignment="1">
      <alignment horizontal="left" vertical="center" wrapText="1"/>
    </xf>
    <xf numFmtId="164" fontId="9" fillId="0" borderId="0" xfId="0" applyNumberFormat="1" applyFont="1" applyFill="1" applyBorder="1" applyAlignment="1">
      <alignment horizontal="left" vertical="center" wrapText="1"/>
    </xf>
    <xf numFmtId="0" fontId="5" fillId="0" borderId="0" xfId="0" applyFont="1" applyFill="1" applyAlignment="1">
      <alignment horizontal="left" wrapText="1"/>
    </xf>
    <xf numFmtId="0" fontId="39" fillId="0" borderId="0" xfId="0" applyFont="1" applyFill="1" applyAlignment="1">
      <alignment vertical="center" wrapText="1"/>
    </xf>
    <xf numFmtId="0" fontId="39" fillId="0" borderId="0" xfId="0" applyFont="1" applyFill="1" applyAlignment="1">
      <alignment vertical="center"/>
    </xf>
    <xf numFmtId="0" fontId="0" fillId="0" borderId="30" xfId="0" applyBorder="1"/>
    <xf numFmtId="1" fontId="6" fillId="3" borderId="3" xfId="0" applyNumberFormat="1" applyFont="1" applyFill="1" applyBorder="1" applyAlignment="1" applyProtection="1">
      <alignment horizontal="center" vertical="center" wrapText="1"/>
    </xf>
    <xf numFmtId="1" fontId="6" fillId="3" borderId="4" xfId="0" applyNumberFormat="1" applyFont="1" applyFill="1" applyBorder="1" applyAlignment="1" applyProtection="1">
      <alignment horizontal="center" vertical="center" wrapText="1"/>
    </xf>
    <xf numFmtId="1" fontId="6" fillId="3" borderId="19" xfId="0" applyNumberFormat="1" applyFont="1" applyFill="1" applyBorder="1" applyAlignment="1" applyProtection="1">
      <alignment horizontal="center" vertical="center" wrapText="1"/>
    </xf>
    <xf numFmtId="0" fontId="5" fillId="4" borderId="15" xfId="0" applyFont="1" applyFill="1" applyBorder="1" applyAlignment="1">
      <alignment wrapText="1"/>
    </xf>
    <xf numFmtId="0" fontId="0" fillId="0" borderId="49" xfId="0" applyBorder="1"/>
    <xf numFmtId="0" fontId="0" fillId="0" borderId="50" xfId="0" applyBorder="1"/>
    <xf numFmtId="15" fontId="73" fillId="0" borderId="49" xfId="0" applyNumberFormat="1" applyFont="1" applyBorder="1"/>
    <xf numFmtId="0" fontId="73" fillId="0" borderId="49" xfId="0" applyFont="1" applyBorder="1"/>
    <xf numFmtId="0" fontId="74" fillId="0" borderId="50" xfId="0" applyFont="1" applyBorder="1"/>
    <xf numFmtId="0" fontId="73" fillId="0" borderId="50" xfId="0" applyFont="1" applyBorder="1"/>
    <xf numFmtId="15" fontId="73" fillId="0" borderId="48" xfId="0" applyNumberFormat="1" applyFont="1" applyBorder="1"/>
    <xf numFmtId="0" fontId="5" fillId="0" borderId="51" xfId="0" applyFont="1" applyFill="1" applyBorder="1" applyAlignment="1">
      <alignment horizontal="left" vertical="center"/>
    </xf>
    <xf numFmtId="15" fontId="73" fillId="0" borderId="52" xfId="0" applyNumberFormat="1" applyFont="1" applyBorder="1"/>
    <xf numFmtId="0" fontId="74" fillId="0" borderId="49" xfId="0" applyFont="1" applyBorder="1"/>
    <xf numFmtId="0" fontId="5" fillId="0" borderId="53" xfId="0" applyFont="1" applyFill="1" applyBorder="1" applyAlignment="1">
      <alignment horizontal="right" vertical="center" wrapText="1"/>
    </xf>
    <xf numFmtId="15" fontId="73" fillId="0" borderId="53" xfId="0" applyNumberFormat="1" applyFont="1" applyBorder="1"/>
    <xf numFmtId="0" fontId="36" fillId="0" borderId="0" xfId="0" applyFont="1" applyFill="1" applyAlignment="1">
      <alignment vertical="center" wrapText="1"/>
    </xf>
    <xf numFmtId="0" fontId="57" fillId="0" borderId="0" xfId="0" applyFont="1" applyFill="1" applyAlignment="1">
      <alignment vertical="top" wrapText="1"/>
    </xf>
    <xf numFmtId="0" fontId="0" fillId="0" borderId="0" xfId="0"/>
    <xf numFmtId="0" fontId="5" fillId="4" borderId="0" xfId="0" applyFont="1" applyFill="1" applyAlignment="1">
      <alignment vertical="center"/>
    </xf>
    <xf numFmtId="0" fontId="9" fillId="4" borderId="0" xfId="0" applyFont="1" applyFill="1" applyBorder="1" applyAlignment="1">
      <alignment vertical="center"/>
    </xf>
    <xf numFmtId="0" fontId="5" fillId="4" borderId="0" xfId="0" applyFont="1" applyFill="1" applyBorder="1" applyAlignment="1">
      <alignment vertical="center"/>
    </xf>
    <xf numFmtId="0" fontId="9" fillId="4" borderId="0" xfId="0" applyFont="1" applyFill="1" applyBorder="1" applyAlignment="1">
      <alignment horizontal="left" vertical="center"/>
    </xf>
    <xf numFmtId="0" fontId="14" fillId="4" borderId="0" xfId="0" applyFont="1" applyFill="1" applyAlignment="1">
      <alignment horizontal="left" vertical="center" wrapText="1"/>
    </xf>
    <xf numFmtId="164" fontId="9" fillId="4" borderId="0" xfId="0" applyNumberFormat="1" applyFont="1" applyFill="1" applyBorder="1" applyAlignment="1" applyProtection="1">
      <alignment horizontal="right" vertical="center"/>
    </xf>
    <xf numFmtId="0" fontId="9" fillId="4" borderId="0" xfId="0" applyNumberFormat="1" applyFont="1" applyFill="1" applyBorder="1" applyAlignment="1" applyProtection="1">
      <alignment horizontal="right" vertical="center"/>
    </xf>
    <xf numFmtId="0" fontId="9" fillId="4" borderId="11" xfId="0" applyFont="1" applyFill="1" applyBorder="1" applyAlignment="1">
      <alignment vertical="center" wrapText="1"/>
    </xf>
    <xf numFmtId="0" fontId="5" fillId="4" borderId="14" xfId="0" applyFont="1" applyFill="1" applyBorder="1" applyAlignment="1">
      <alignment vertical="center"/>
    </xf>
    <xf numFmtId="0" fontId="9" fillId="4" borderId="15" xfId="0" applyFont="1" applyFill="1" applyBorder="1" applyAlignment="1">
      <alignment vertical="center" wrapText="1"/>
    </xf>
    <xf numFmtId="4" fontId="5" fillId="2" borderId="1" xfId="0" applyNumberFormat="1" applyFont="1" applyFill="1" applyBorder="1" applyAlignment="1" applyProtection="1">
      <alignment horizontal="center" vertical="center"/>
      <protection locked="0"/>
    </xf>
    <xf numFmtId="0" fontId="0" fillId="0" borderId="0" xfId="0"/>
    <xf numFmtId="0" fontId="0" fillId="0" borderId="0" xfId="0" applyFill="1"/>
    <xf numFmtId="0" fontId="0" fillId="0" borderId="0" xfId="0"/>
    <xf numFmtId="0" fontId="9" fillId="2" borderId="0" xfId="0" applyFont="1" applyFill="1" applyBorder="1" applyAlignment="1">
      <alignment vertical="center"/>
    </xf>
    <xf numFmtId="164" fontId="9" fillId="2" borderId="0" xfId="0" applyNumberFormat="1" applyFont="1" applyFill="1" applyBorder="1" applyAlignment="1">
      <alignment horizontal="right" vertical="center"/>
    </xf>
    <xf numFmtId="0" fontId="9" fillId="2" borderId="0" xfId="0" applyFont="1" applyFill="1" applyBorder="1" applyAlignment="1">
      <alignment horizontal="left" vertical="center"/>
    </xf>
    <xf numFmtId="181" fontId="5" fillId="2" borderId="1" xfId="1" applyNumberFormat="1" applyFont="1" applyFill="1" applyBorder="1" applyAlignment="1" applyProtection="1">
      <alignment horizontal="right" vertical="center"/>
    </xf>
    <xf numFmtId="181" fontId="5" fillId="4" borderId="0" xfId="0" applyNumberFormat="1" applyFont="1" applyFill="1" applyBorder="1" applyAlignment="1" applyProtection="1">
      <alignment horizontal="right" vertical="center"/>
    </xf>
    <xf numFmtId="4" fontId="5" fillId="2" borderId="1" xfId="0" applyNumberFormat="1" applyFont="1" applyFill="1" applyBorder="1" applyAlignment="1" applyProtection="1">
      <alignment horizontal="right" vertical="center"/>
    </xf>
    <xf numFmtId="0" fontId="5" fillId="4" borderId="3" xfId="0" applyFont="1" applyFill="1" applyBorder="1" applyAlignment="1">
      <alignment vertical="center" wrapText="1"/>
    </xf>
    <xf numFmtId="181" fontId="9" fillId="4" borderId="0" xfId="1" applyNumberFormat="1" applyFont="1" applyFill="1" applyAlignment="1" applyProtection="1">
      <alignment horizontal="right" vertical="center"/>
    </xf>
    <xf numFmtId="43" fontId="9" fillId="4" borderId="0" xfId="1" applyFont="1" applyFill="1" applyBorder="1" applyAlignment="1" applyProtection="1">
      <alignment horizontal="right" vertical="center"/>
    </xf>
    <xf numFmtId="181" fontId="9" fillId="4" borderId="0" xfId="1" applyNumberFormat="1" applyFont="1" applyFill="1" applyBorder="1" applyAlignment="1" applyProtection="1">
      <alignment horizontal="right" vertical="center"/>
    </xf>
    <xf numFmtId="181" fontId="9" fillId="4" borderId="5" xfId="1" applyNumberFormat="1" applyFont="1" applyFill="1" applyBorder="1" applyAlignment="1" applyProtection="1">
      <alignment horizontal="right" vertical="center"/>
    </xf>
    <xf numFmtId="43" fontId="9" fillId="4" borderId="0" xfId="1" applyNumberFormat="1" applyFont="1" applyFill="1" applyBorder="1" applyAlignment="1" applyProtection="1">
      <alignment horizontal="right" vertical="center"/>
    </xf>
    <xf numFmtId="43" fontId="9" fillId="4" borderId="0" xfId="0" quotePrefix="1" applyNumberFormat="1" applyFont="1" applyFill="1" applyAlignment="1" applyProtection="1">
      <alignment horizontal="right" vertical="center"/>
    </xf>
    <xf numFmtId="43" fontId="7" fillId="4" borderId="0" xfId="0" applyNumberFormat="1" applyFont="1" applyFill="1" applyBorder="1" applyAlignment="1">
      <alignment vertical="center"/>
    </xf>
    <xf numFmtId="164" fontId="5" fillId="4" borderId="2" xfId="0" applyNumberFormat="1" applyFont="1" applyFill="1" applyBorder="1" applyAlignment="1" applyProtection="1">
      <alignment horizontal="right" vertical="center"/>
    </xf>
    <xf numFmtId="0" fontId="5" fillId="0" borderId="33" xfId="0" applyFont="1" applyFill="1" applyBorder="1" applyAlignment="1">
      <alignment horizontal="left" vertical="center"/>
    </xf>
    <xf numFmtId="0" fontId="0" fillId="0" borderId="0" xfId="0" applyFill="1"/>
    <xf numFmtId="0" fontId="5" fillId="0" borderId="0" xfId="0" applyFont="1" applyFill="1" applyBorder="1" applyAlignment="1">
      <alignment horizontal="left" vertical="center"/>
    </xf>
    <xf numFmtId="0" fontId="5" fillId="0" borderId="35" xfId="0" applyFont="1" applyFill="1" applyBorder="1" applyAlignment="1">
      <alignment horizontal="left" vertical="center"/>
    </xf>
    <xf numFmtId="0" fontId="5" fillId="0" borderId="32" xfId="0" applyFont="1" applyFill="1" applyBorder="1" applyAlignment="1">
      <alignment horizontal="left" vertical="center"/>
    </xf>
    <xf numFmtId="15" fontId="5" fillId="0" borderId="53" xfId="0" applyNumberFormat="1" applyFont="1" applyBorder="1"/>
    <xf numFmtId="168" fontId="9" fillId="4" borderId="0" xfId="0" applyNumberFormat="1" applyFont="1" applyFill="1" applyAlignment="1">
      <alignment horizontal="center" vertical="center"/>
    </xf>
    <xf numFmtId="0" fontId="5" fillId="0" borderId="33" xfId="0" applyFont="1" applyFill="1" applyBorder="1" applyAlignment="1">
      <alignment horizontal="left" vertical="center" wrapText="1"/>
    </xf>
    <xf numFmtId="0" fontId="0" fillId="0" borderId="33" xfId="0" applyBorder="1"/>
    <xf numFmtId="0" fontId="5" fillId="0" borderId="29" xfId="0" applyFont="1" applyFill="1" applyBorder="1" applyAlignment="1">
      <alignment horizontal="left" vertical="center"/>
    </xf>
    <xf numFmtId="0" fontId="5" fillId="0" borderId="31" xfId="0" applyFont="1" applyFill="1" applyBorder="1" applyAlignment="1">
      <alignment horizontal="left" vertical="center"/>
    </xf>
    <xf numFmtId="165" fontId="9" fillId="4" borderId="0" xfId="0" applyNumberFormat="1" applyFont="1" applyFill="1" applyAlignment="1" applyProtection="1">
      <alignment vertical="center"/>
    </xf>
    <xf numFmtId="165" fontId="9" fillId="4" borderId="0" xfId="0" applyNumberFormat="1" applyFont="1" applyFill="1" applyBorder="1" applyAlignment="1" applyProtection="1">
      <alignment vertical="center"/>
    </xf>
    <xf numFmtId="0" fontId="32" fillId="0" borderId="0" xfId="2" applyFont="1" applyFill="1" applyBorder="1" applyAlignment="1" applyProtection="1">
      <alignment vertical="center"/>
    </xf>
    <xf numFmtId="2" fontId="5" fillId="6" borderId="2" xfId="4" applyNumberFormat="1" applyFont="1" applyFill="1" applyBorder="1" applyAlignment="1" applyProtection="1">
      <alignment horizontal="right" vertical="center"/>
    </xf>
    <xf numFmtId="0" fontId="55" fillId="0" borderId="0" xfId="0" applyFont="1" applyAlignment="1">
      <alignment horizontal="center" vertical="center"/>
    </xf>
    <xf numFmtId="0" fontId="71" fillId="0" borderId="0" xfId="0" applyFont="1" applyAlignment="1">
      <alignment horizontal="left" vertical="top"/>
    </xf>
    <xf numFmtId="0" fontId="70" fillId="0" borderId="0" xfId="0" applyFont="1" applyAlignment="1">
      <alignment horizontal="left" vertical="top" wrapText="1"/>
    </xf>
    <xf numFmtId="0" fontId="1" fillId="0" borderId="0" xfId="0" applyFont="1" applyAlignment="1">
      <alignment vertical="center"/>
    </xf>
    <xf numFmtId="0" fontId="0" fillId="0" borderId="0" xfId="0" applyAlignment="1"/>
    <xf numFmtId="0" fontId="0" fillId="0" borderId="0" xfId="0" applyFill="1" applyAlignment="1"/>
    <xf numFmtId="0" fontId="1"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5" fillId="7" borderId="0" xfId="0" applyFont="1" applyFill="1" applyBorder="1" applyAlignment="1">
      <alignment vertical="center"/>
    </xf>
    <xf numFmtId="0" fontId="5" fillId="7" borderId="0" xfId="0" applyFont="1" applyFill="1" applyBorder="1" applyAlignment="1">
      <alignment horizontal="left" vertical="center"/>
    </xf>
    <xf numFmtId="0" fontId="5" fillId="7" borderId="0" xfId="0" applyFont="1" applyFill="1" applyAlignment="1">
      <alignment horizontal="left" vertical="center" wrapText="1"/>
    </xf>
    <xf numFmtId="0" fontId="0" fillId="7" borderId="0" xfId="0" applyFill="1"/>
    <xf numFmtId="0" fontId="9" fillId="7" borderId="2" xfId="0" applyFont="1" applyFill="1" applyBorder="1" applyAlignment="1">
      <alignment horizontal="center" vertical="center"/>
    </xf>
    <xf numFmtId="0" fontId="66" fillId="7" borderId="0" xfId="0" applyFont="1" applyFill="1" applyAlignment="1">
      <alignment horizontal="center" vertical="center"/>
    </xf>
    <xf numFmtId="0" fontId="4" fillId="3" borderId="39" xfId="0" applyFont="1" applyFill="1" applyBorder="1" applyAlignment="1">
      <alignment horizontal="center" vertical="center"/>
    </xf>
    <xf numFmtId="0" fontId="9" fillId="2" borderId="1" xfId="0" applyFont="1" applyFill="1" applyBorder="1" applyAlignment="1" applyProtection="1">
      <alignment horizontal="center" vertical="center" wrapText="1"/>
      <protection locked="0"/>
    </xf>
    <xf numFmtId="0" fontId="0" fillId="2" borderId="1" xfId="0" applyFill="1" applyBorder="1"/>
    <xf numFmtId="0" fontId="5" fillId="2" borderId="1" xfId="0" applyFont="1" applyFill="1" applyBorder="1" applyAlignment="1" applyProtection="1">
      <alignment horizontal="center"/>
      <protection locked="0"/>
    </xf>
    <xf numFmtId="0" fontId="5" fillId="0" borderId="0" xfId="0" applyFont="1" applyAlignment="1">
      <alignment horizontal="left" vertical="center"/>
    </xf>
    <xf numFmtId="0" fontId="5" fillId="0" borderId="35" xfId="0" applyFont="1" applyBorder="1" applyAlignment="1">
      <alignment horizontal="left" vertical="center"/>
    </xf>
    <xf numFmtId="0" fontId="5" fillId="0" borderId="30" xfId="0" applyFont="1" applyBorder="1" applyAlignment="1">
      <alignment horizontal="left" vertical="center"/>
    </xf>
    <xf numFmtId="0" fontId="5" fillId="0" borderId="0" xfId="0" applyFont="1" applyAlignment="1">
      <alignment horizontal="left" vertical="center" wrapText="1"/>
    </xf>
    <xf numFmtId="15" fontId="5" fillId="0" borderId="49" xfId="0" applyNumberFormat="1" applyFont="1" applyBorder="1"/>
    <xf numFmtId="43" fontId="5" fillId="2" borderId="1" xfId="0" applyNumberFormat="1" applyFont="1" applyFill="1" applyBorder="1" applyAlignment="1" applyProtection="1">
      <alignment horizontal="right" vertical="center"/>
    </xf>
    <xf numFmtId="0" fontId="9" fillId="0" borderId="6" xfId="0" applyFont="1" applyFill="1" applyBorder="1" applyAlignment="1">
      <alignment vertical="center"/>
    </xf>
    <xf numFmtId="164" fontId="5" fillId="0" borderId="4" xfId="0" applyNumberFormat="1" applyFont="1" applyFill="1" applyBorder="1" applyAlignment="1">
      <alignment horizontal="right" vertical="center"/>
    </xf>
    <xf numFmtId="168" fontId="9" fillId="0" borderId="4" xfId="0" applyNumberFormat="1" applyFont="1" applyFill="1" applyBorder="1" applyAlignment="1">
      <alignment horizontal="center" vertical="center"/>
    </xf>
    <xf numFmtId="0" fontId="31" fillId="0" borderId="6" xfId="0" applyFont="1" applyFill="1" applyBorder="1" applyAlignment="1">
      <alignment vertical="center"/>
    </xf>
    <xf numFmtId="0" fontId="9" fillId="0" borderId="0" xfId="0" applyFont="1" applyFill="1" applyAlignment="1" applyProtection="1">
      <alignment horizontal="right" vertical="center"/>
    </xf>
    <xf numFmtId="0" fontId="9" fillId="0" borderId="0" xfId="0" applyFont="1" applyFill="1" applyAlignment="1">
      <alignment horizontal="center" vertical="center"/>
    </xf>
    <xf numFmtId="0" fontId="9" fillId="0" borderId="11" xfId="0" applyFont="1" applyFill="1" applyBorder="1" applyAlignment="1">
      <alignment vertical="center" wrapText="1"/>
    </xf>
    <xf numFmtId="0" fontId="9" fillId="0" borderId="0" xfId="0" applyFont="1" applyFill="1" applyBorder="1" applyAlignment="1">
      <alignment horizontal="right" vertical="center" wrapText="1"/>
    </xf>
    <xf numFmtId="4" fontId="9" fillId="0" borderId="0" xfId="0" applyNumberFormat="1" applyFont="1" applyFill="1" applyBorder="1" applyAlignment="1" applyProtection="1">
      <alignment horizontal="right" vertical="center"/>
    </xf>
    <xf numFmtId="0" fontId="9" fillId="0" borderId="0" xfId="0" applyFont="1" applyFill="1" applyBorder="1" applyAlignment="1">
      <alignment horizontal="center" vertical="center"/>
    </xf>
    <xf numFmtId="4" fontId="9" fillId="0" borderId="0" xfId="0" applyNumberFormat="1" applyFont="1" applyFill="1" applyBorder="1" applyAlignment="1">
      <alignment horizontal="right" vertical="center"/>
    </xf>
    <xf numFmtId="0" fontId="5" fillId="9" borderId="35" xfId="0" applyFont="1" applyFill="1" applyBorder="1" applyAlignment="1">
      <alignment vertical="center" wrapText="1"/>
    </xf>
    <xf numFmtId="0" fontId="9" fillId="2" borderId="47" xfId="0" applyNumberFormat="1" applyFont="1" applyFill="1" applyBorder="1" applyAlignment="1" applyProtection="1">
      <alignment horizontal="center" vertical="center" wrapText="1"/>
      <protection locked="0"/>
    </xf>
    <xf numFmtId="3" fontId="9" fillId="4" borderId="0" xfId="0" applyNumberFormat="1" applyFont="1" applyFill="1" applyBorder="1" applyAlignment="1">
      <alignment horizontal="right" vertical="center"/>
    </xf>
    <xf numFmtId="0" fontId="9" fillId="4" borderId="20" xfId="0" applyFont="1" applyFill="1" applyBorder="1" applyAlignment="1">
      <alignment vertical="top" wrapText="1"/>
    </xf>
    <xf numFmtId="1" fontId="6" fillId="3" borderId="2" xfId="0" applyNumberFormat="1" applyFont="1" applyFill="1" applyBorder="1" applyAlignment="1">
      <alignment horizontal="center" vertical="center" wrapText="1"/>
    </xf>
    <xf numFmtId="0" fontId="5" fillId="4" borderId="6" xfId="0" applyFont="1" applyFill="1" applyBorder="1" applyAlignment="1">
      <alignment horizontal="center" vertical="center"/>
    </xf>
    <xf numFmtId="0" fontId="5" fillId="3" borderId="0" xfId="0" applyFont="1" applyFill="1" applyAlignment="1">
      <alignment horizontal="center" vertical="center"/>
    </xf>
    <xf numFmtId="0" fontId="9" fillId="2" borderId="1" xfId="0" applyFont="1" applyFill="1" applyBorder="1" applyAlignment="1">
      <alignment horizontal="center" vertical="center"/>
    </xf>
    <xf numFmtId="0" fontId="0" fillId="9" borderId="0" xfId="0" applyFill="1"/>
    <xf numFmtId="0" fontId="0" fillId="9" borderId="0" xfId="0" applyFill="1" applyAlignment="1">
      <alignment horizontal="center" vertical="center"/>
    </xf>
    <xf numFmtId="0" fontId="3" fillId="9" borderId="2" xfId="0" applyFont="1" applyFill="1" applyBorder="1" applyAlignment="1">
      <alignment horizontal="center" vertical="center" wrapText="1"/>
    </xf>
    <xf numFmtId="0" fontId="9" fillId="9" borderId="0" xfId="0" applyFont="1" applyFill="1" applyBorder="1" applyAlignment="1">
      <alignment horizontal="left" vertical="center"/>
    </xf>
    <xf numFmtId="0" fontId="9" fillId="9" borderId="0" xfId="0" applyFont="1" applyFill="1" applyBorder="1" applyAlignment="1">
      <alignment vertical="center"/>
    </xf>
    <xf numFmtId="0" fontId="9" fillId="9" borderId="2" xfId="0" applyFont="1" applyFill="1" applyBorder="1" applyAlignment="1">
      <alignment horizontal="center" vertical="center"/>
    </xf>
    <xf numFmtId="0" fontId="9" fillId="9" borderId="0" xfId="0" applyFont="1" applyFill="1" applyAlignment="1">
      <alignment horizontal="left" vertical="center" wrapText="1"/>
    </xf>
    <xf numFmtId="0" fontId="5" fillId="9" borderId="0" xfId="0" applyFont="1" applyFill="1" applyBorder="1" applyAlignment="1">
      <alignment vertical="center" wrapText="1"/>
    </xf>
    <xf numFmtId="0" fontId="9" fillId="9" borderId="0" xfId="0" applyFont="1" applyFill="1" applyBorder="1" applyAlignment="1">
      <alignment vertical="center" wrapText="1"/>
    </xf>
    <xf numFmtId="0" fontId="9" fillId="9" borderId="0" xfId="0" applyFont="1" applyFill="1" applyBorder="1" applyAlignment="1">
      <alignment horizontal="left" vertical="center" wrapText="1"/>
    </xf>
    <xf numFmtId="0" fontId="9" fillId="9" borderId="0" xfId="0" applyFont="1" applyFill="1" applyBorder="1" applyAlignment="1">
      <alignment horizontal="center" vertical="center" wrapText="1"/>
    </xf>
    <xf numFmtId="0" fontId="3" fillId="9" borderId="3" xfId="0" applyFont="1" applyFill="1" applyBorder="1" applyAlignment="1">
      <alignment vertical="center" wrapText="1"/>
    </xf>
    <xf numFmtId="0" fontId="3" fillId="9" borderId="4" xfId="0" applyFont="1" applyFill="1" applyBorder="1" applyAlignment="1">
      <alignment horizontal="center" vertical="center" wrapText="1"/>
    </xf>
    <xf numFmtId="0" fontId="3" fillId="9" borderId="4" xfId="0" applyFont="1" applyFill="1" applyBorder="1" applyAlignment="1">
      <alignment horizontal="right" vertical="center" wrapText="1"/>
    </xf>
    <xf numFmtId="0" fontId="4" fillId="9" borderId="4" xfId="0" applyFont="1" applyFill="1" applyBorder="1" applyAlignment="1">
      <alignment horizontal="center" vertical="center" wrapText="1"/>
    </xf>
    <xf numFmtId="0" fontId="5" fillId="9" borderId="0" xfId="0" applyFont="1" applyFill="1" applyAlignment="1">
      <alignment vertical="center" wrapText="1"/>
    </xf>
    <xf numFmtId="0" fontId="7" fillId="9" borderId="0" xfId="0" applyFont="1" applyFill="1" applyAlignment="1" applyProtection="1">
      <alignment horizontal="right" vertical="center"/>
    </xf>
    <xf numFmtId="0" fontId="5" fillId="9" borderId="0" xfId="0" applyFont="1" applyFill="1" applyAlignment="1">
      <alignment horizontal="center" vertical="center"/>
    </xf>
    <xf numFmtId="0" fontId="9" fillId="9" borderId="0" xfId="0" applyFont="1" applyFill="1" applyAlignment="1">
      <alignment horizontal="center" vertical="center"/>
    </xf>
    <xf numFmtId="0" fontId="9" fillId="9" borderId="11" xfId="0" applyFont="1" applyFill="1" applyBorder="1" applyAlignment="1">
      <alignment vertical="center" wrapText="1"/>
    </xf>
    <xf numFmtId="0" fontId="9" fillId="9" borderId="0" xfId="0" applyFont="1" applyFill="1" applyBorder="1" applyAlignment="1">
      <alignment horizontal="center" vertical="center"/>
    </xf>
    <xf numFmtId="0" fontId="9" fillId="9" borderId="0" xfId="0" applyFont="1" applyFill="1" applyAlignment="1">
      <alignment vertical="center"/>
    </xf>
    <xf numFmtId="1" fontId="5" fillId="9" borderId="0" xfId="0" applyNumberFormat="1" applyFont="1" applyFill="1" applyBorder="1" applyAlignment="1">
      <alignment horizontal="right" vertical="center"/>
    </xf>
    <xf numFmtId="0" fontId="5" fillId="9" borderId="0" xfId="0" applyFont="1" applyFill="1" applyBorder="1" applyAlignment="1">
      <alignment horizontal="center" vertical="center"/>
    </xf>
    <xf numFmtId="0" fontId="14" fillId="9" borderId="0" xfId="0" applyFont="1" applyFill="1" applyBorder="1" applyAlignment="1">
      <alignment vertical="center" wrapText="1"/>
    </xf>
    <xf numFmtId="0" fontId="5" fillId="9" borderId="0" xfId="0" applyFont="1" applyFill="1" applyBorder="1" applyAlignment="1">
      <alignment horizontal="left" vertical="center"/>
    </xf>
    <xf numFmtId="1" fontId="9" fillId="9" borderId="0" xfId="0" applyNumberFormat="1" applyFont="1" applyFill="1" applyBorder="1" applyAlignment="1" applyProtection="1">
      <alignment horizontal="right" vertical="center" wrapText="1"/>
    </xf>
    <xf numFmtId="0" fontId="14" fillId="9" borderId="0"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9" borderId="3" xfId="0" applyFont="1" applyFill="1" applyBorder="1" applyAlignment="1">
      <alignment vertical="center" wrapText="1"/>
    </xf>
    <xf numFmtId="181" fontId="5" fillId="9" borderId="2" xfId="1" applyNumberFormat="1" applyFont="1" applyFill="1" applyBorder="1" applyAlignment="1" applyProtection="1">
      <alignment horizontal="right" vertical="center"/>
    </xf>
    <xf numFmtId="3" fontId="9" fillId="9" borderId="0" xfId="0" applyNumberFormat="1" applyFont="1" applyFill="1" applyBorder="1" applyAlignment="1" applyProtection="1">
      <alignment horizontal="right" vertical="center"/>
    </xf>
    <xf numFmtId="0" fontId="6" fillId="9" borderId="0" xfId="0" applyFont="1" applyFill="1" applyBorder="1" applyAlignment="1">
      <alignment horizontal="center" vertical="center" wrapText="1"/>
    </xf>
    <xf numFmtId="173" fontId="9" fillId="9" borderId="0" xfId="1" applyNumberFormat="1" applyFont="1" applyFill="1" applyBorder="1" applyAlignment="1" applyProtection="1">
      <alignment horizontal="right" vertical="center"/>
    </xf>
    <xf numFmtId="1" fontId="9" fillId="9" borderId="0" xfId="1" applyNumberFormat="1" applyFont="1" applyFill="1" applyBorder="1" applyAlignment="1" applyProtection="1">
      <alignment horizontal="right" vertical="center"/>
    </xf>
    <xf numFmtId="4" fontId="9" fillId="9" borderId="0" xfId="0" applyNumberFormat="1" applyFont="1" applyFill="1" applyBorder="1" applyAlignment="1" applyProtection="1">
      <alignment horizontal="right" vertical="center"/>
    </xf>
    <xf numFmtId="0" fontId="5" fillId="9" borderId="6" xfId="0" applyFont="1" applyFill="1" applyBorder="1" applyAlignment="1">
      <alignment vertical="center"/>
    </xf>
    <xf numFmtId="0" fontId="9" fillId="9" borderId="6" xfId="0" applyFont="1" applyFill="1" applyBorder="1" applyAlignment="1">
      <alignment vertical="center" wrapText="1"/>
    </xf>
    <xf numFmtId="164" fontId="9" fillId="9" borderId="2" xfId="0" applyNumberFormat="1" applyFont="1" applyFill="1" applyBorder="1" applyAlignment="1" applyProtection="1">
      <alignment horizontal="right" vertical="center"/>
    </xf>
    <xf numFmtId="0" fontId="9" fillId="9" borderId="6" xfId="0" applyFont="1" applyFill="1" applyBorder="1" applyAlignment="1">
      <alignment horizontal="left" vertical="center"/>
    </xf>
    <xf numFmtId="0" fontId="5" fillId="9" borderId="2" xfId="0" applyFont="1" applyFill="1" applyBorder="1" applyAlignment="1">
      <alignment horizontal="center" vertical="center"/>
    </xf>
    <xf numFmtId="0" fontId="5" fillId="9" borderId="12" xfId="0" applyFont="1" applyFill="1" applyBorder="1" applyAlignment="1">
      <alignment vertical="center"/>
    </xf>
    <xf numFmtId="2" fontId="9" fillId="9" borderId="0" xfId="0" applyNumberFormat="1" applyFont="1" applyFill="1" applyBorder="1" applyAlignment="1" applyProtection="1">
      <alignment horizontal="right" vertical="center"/>
    </xf>
    <xf numFmtId="4" fontId="9" fillId="9" borderId="2" xfId="0" applyNumberFormat="1" applyFont="1" applyFill="1" applyBorder="1" applyAlignment="1">
      <alignment horizontal="right" vertical="center"/>
    </xf>
    <xf numFmtId="167" fontId="9" fillId="9" borderId="6" xfId="1" applyNumberFormat="1" applyFont="1" applyFill="1" applyBorder="1" applyAlignment="1">
      <alignment vertical="center"/>
    </xf>
    <xf numFmtId="1" fontId="9" fillId="9" borderId="2" xfId="0" applyNumberFormat="1" applyFont="1" applyFill="1" applyBorder="1" applyAlignment="1" applyProtection="1">
      <alignment horizontal="right" vertical="center"/>
    </xf>
    <xf numFmtId="1" fontId="9" fillId="9" borderId="6" xfId="0" applyNumberFormat="1" applyFont="1" applyFill="1" applyBorder="1" applyAlignment="1">
      <alignment horizontal="left" vertical="center"/>
    </xf>
    <xf numFmtId="0" fontId="14" fillId="9" borderId="2" xfId="0" applyFont="1" applyFill="1" applyBorder="1" applyAlignment="1">
      <alignment horizontal="center" vertical="center" wrapText="1"/>
    </xf>
    <xf numFmtId="0" fontId="5" fillId="9" borderId="0" xfId="0" applyFont="1" applyFill="1" applyBorder="1" applyAlignment="1">
      <alignment vertical="center"/>
    </xf>
    <xf numFmtId="166" fontId="7" fillId="9" borderId="0" xfId="1" applyNumberFormat="1" applyFont="1" applyFill="1" applyBorder="1" applyAlignment="1" applyProtection="1">
      <alignment horizontal="right" vertical="center"/>
    </xf>
    <xf numFmtId="166" fontId="9" fillId="9" borderId="0" xfId="1" applyNumberFormat="1" applyFont="1" applyFill="1" applyBorder="1" applyAlignment="1" applyProtection="1">
      <alignment horizontal="right" vertical="center"/>
    </xf>
    <xf numFmtId="0" fontId="5" fillId="9" borderId="8" xfId="0" applyFont="1" applyFill="1" applyBorder="1" applyAlignment="1">
      <alignment vertical="center"/>
    </xf>
    <xf numFmtId="2" fontId="5" fillId="9" borderId="0" xfId="4" applyNumberFormat="1" applyFont="1" applyFill="1" applyBorder="1" applyAlignment="1">
      <alignment horizontal="center"/>
    </xf>
    <xf numFmtId="2" fontId="5" fillId="9" borderId="0" xfId="0" applyNumberFormat="1" applyFont="1" applyFill="1" applyBorder="1" applyAlignment="1">
      <alignment horizontal="center"/>
    </xf>
    <xf numFmtId="0" fontId="5" fillId="9" borderId="0" xfId="0" applyFont="1" applyFill="1" applyBorder="1" applyAlignment="1">
      <alignment horizontal="center"/>
    </xf>
    <xf numFmtId="2" fontId="9" fillId="9" borderId="1" xfId="1" applyNumberFormat="1" applyFont="1" applyFill="1" applyBorder="1" applyAlignment="1" applyProtection="1">
      <alignment horizontal="right" vertical="center"/>
    </xf>
    <xf numFmtId="164" fontId="5" fillId="9" borderId="2" xfId="0" applyNumberFormat="1" applyFont="1" applyFill="1" applyBorder="1" applyAlignment="1" applyProtection="1">
      <alignment horizontal="right" vertical="center"/>
    </xf>
    <xf numFmtId="0" fontId="77" fillId="10" borderId="1" xfId="0" applyFont="1" applyFill="1" applyBorder="1" applyAlignment="1">
      <alignment horizontal="center"/>
    </xf>
    <xf numFmtId="0" fontId="5" fillId="4" borderId="6" xfId="0" applyFont="1" applyFill="1" applyBorder="1" applyAlignment="1">
      <alignment vertical="center"/>
    </xf>
    <xf numFmtId="0" fontId="5" fillId="9" borderId="14" xfId="0" applyFont="1" applyFill="1" applyBorder="1" applyAlignment="1">
      <alignment horizontal="left" vertical="center"/>
    </xf>
    <xf numFmtId="2" fontId="6" fillId="9" borderId="2" xfId="0" applyNumberFormat="1" applyFont="1" applyFill="1" applyBorder="1" applyAlignment="1" applyProtection="1">
      <alignment horizontal="center" vertical="center" wrapText="1"/>
    </xf>
    <xf numFmtId="1" fontId="5" fillId="4" borderId="0" xfId="0" applyNumberFormat="1" applyFont="1" applyFill="1"/>
    <xf numFmtId="1" fontId="5" fillId="4" borderId="0" xfId="0" applyNumberFormat="1" applyFont="1" applyFill="1" applyBorder="1"/>
    <xf numFmtId="2" fontId="5" fillId="4" borderId="0" xfId="0" applyNumberFormat="1" applyFont="1" applyFill="1"/>
    <xf numFmtId="171" fontId="4" fillId="4" borderId="0" xfId="0" applyNumberFormat="1" applyFont="1" applyFill="1"/>
    <xf numFmtId="164" fontId="9" fillId="4" borderId="0" xfId="1" applyNumberFormat="1" applyFont="1" applyFill="1" applyBorder="1" applyAlignment="1" applyProtection="1">
      <alignment horizontal="right" vertical="center"/>
    </xf>
    <xf numFmtId="2" fontId="6" fillId="0" borderId="0" xfId="0" applyNumberFormat="1" applyFont="1" applyFill="1" applyBorder="1" applyAlignment="1" applyProtection="1">
      <alignment horizontal="center" vertical="center" wrapText="1"/>
    </xf>
    <xf numFmtId="0" fontId="79" fillId="0" borderId="0" xfId="0" applyFont="1" applyFill="1" applyBorder="1" applyAlignment="1">
      <alignment vertical="center"/>
    </xf>
    <xf numFmtId="0" fontId="5" fillId="9" borderId="14" xfId="0" applyFont="1" applyFill="1" applyBorder="1" applyAlignment="1">
      <alignment vertical="center" wrapText="1"/>
    </xf>
    <xf numFmtId="43" fontId="5" fillId="9" borderId="0" xfId="1" applyFont="1" applyFill="1" applyBorder="1" applyAlignment="1">
      <alignment horizontal="center"/>
    </xf>
    <xf numFmtId="165" fontId="4" fillId="4" borderId="0" xfId="0" applyNumberFormat="1" applyFont="1" applyFill="1"/>
    <xf numFmtId="0" fontId="0" fillId="0" borderId="35" xfId="0" applyBorder="1"/>
    <xf numFmtId="0" fontId="5" fillId="11" borderId="0" xfId="0" applyFont="1" applyFill="1" applyBorder="1" applyAlignment="1">
      <alignment vertical="center"/>
    </xf>
    <xf numFmtId="0" fontId="5" fillId="11" borderId="0" xfId="0" applyFont="1" applyFill="1" applyAlignment="1">
      <alignment vertical="center"/>
    </xf>
    <xf numFmtId="0" fontId="8" fillId="0" borderId="0" xfId="0" applyFont="1"/>
    <xf numFmtId="0" fontId="4" fillId="4" borderId="0" xfId="0" applyFont="1" applyFill="1"/>
    <xf numFmtId="0" fontId="19" fillId="4" borderId="0" xfId="0" applyFont="1" applyFill="1"/>
    <xf numFmtId="0" fontId="2" fillId="4" borderId="0" xfId="0" applyFont="1" applyFill="1"/>
    <xf numFmtId="0" fontId="6" fillId="4" borderId="0" xfId="0" applyFont="1" applyFill="1"/>
    <xf numFmtId="0" fontId="4" fillId="4" borderId="0" xfId="0" applyFont="1" applyFill="1" applyBorder="1" applyAlignment="1">
      <alignment horizontal="left" vertical="center"/>
    </xf>
    <xf numFmtId="1" fontId="19" fillId="4" borderId="0" xfId="0" applyNumberFormat="1" applyFont="1" applyFill="1"/>
    <xf numFmtId="0" fontId="80" fillId="4" borderId="0" xfId="0" applyFont="1" applyFill="1"/>
    <xf numFmtId="165" fontId="81" fillId="4" borderId="0" xfId="0" applyNumberFormat="1" applyFont="1" applyFill="1"/>
    <xf numFmtId="2" fontId="81" fillId="4" borderId="0" xfId="0" applyNumberFormat="1" applyFont="1" applyFill="1"/>
    <xf numFmtId="166" fontId="81" fillId="4" borderId="0" xfId="0" applyNumberFormat="1" applyFont="1" applyFill="1"/>
    <xf numFmtId="0" fontId="14" fillId="9" borderId="0" xfId="0" applyFont="1" applyFill="1" applyAlignment="1">
      <alignment horizontal="left" vertical="center" wrapText="1"/>
    </xf>
    <xf numFmtId="0" fontId="9" fillId="9" borderId="1" xfId="0" applyFont="1" applyFill="1" applyBorder="1" applyAlignment="1" applyProtection="1">
      <alignment horizontal="center" vertical="center" wrapText="1"/>
      <protection locked="0"/>
    </xf>
    <xf numFmtId="0" fontId="5" fillId="9" borderId="0" xfId="0" applyFont="1" applyFill="1" applyBorder="1" applyAlignment="1">
      <alignment horizontal="left" vertical="center" wrapText="1"/>
    </xf>
    <xf numFmtId="0" fontId="66" fillId="9" borderId="0" xfId="0" applyFont="1" applyFill="1" applyBorder="1" applyAlignment="1">
      <alignment horizontal="center" vertical="center"/>
    </xf>
    <xf numFmtId="0" fontId="66" fillId="9" borderId="0" xfId="0" applyFont="1" applyFill="1" applyAlignment="1">
      <alignment horizontal="center" vertical="center"/>
    </xf>
    <xf numFmtId="0" fontId="2" fillId="0" borderId="0" xfId="0" applyFont="1"/>
    <xf numFmtId="0" fontId="5" fillId="9" borderId="0" xfId="0" applyFont="1" applyFill="1"/>
    <xf numFmtId="0" fontId="19" fillId="5" borderId="3" xfId="0" applyFont="1" applyFill="1" applyBorder="1" applyAlignment="1">
      <alignment vertical="center" wrapText="1"/>
    </xf>
    <xf numFmtId="0" fontId="19" fillId="5" borderId="4" xfId="0" applyFont="1" applyFill="1" applyBorder="1" applyAlignment="1">
      <alignment horizontal="center" vertical="center" wrapText="1"/>
    </xf>
    <xf numFmtId="0" fontId="19" fillId="5" borderId="4" xfId="0" applyFont="1" applyFill="1" applyBorder="1" applyAlignment="1" applyProtection="1">
      <alignment horizontal="center" vertical="center" wrapText="1"/>
    </xf>
    <xf numFmtId="0" fontId="19" fillId="5" borderId="19" xfId="0" applyFont="1" applyFill="1" applyBorder="1" applyAlignment="1">
      <alignment horizontal="center" vertical="center" wrapText="1"/>
    </xf>
    <xf numFmtId="0" fontId="7" fillId="4" borderId="6" xfId="0" applyFont="1" applyFill="1" applyBorder="1" applyAlignment="1" applyProtection="1">
      <alignment horizontal="center" vertical="center"/>
    </xf>
    <xf numFmtId="0" fontId="7" fillId="4" borderId="0" xfId="0" applyFont="1" applyFill="1" applyBorder="1" applyAlignment="1">
      <alignment horizontal="center" vertical="center"/>
    </xf>
    <xf numFmtId="0" fontId="19" fillId="3" borderId="0" xfId="0" applyFont="1" applyFill="1" applyBorder="1" applyAlignment="1">
      <alignment vertical="center" wrapText="1"/>
    </xf>
    <xf numFmtId="0" fontId="7" fillId="3" borderId="15" xfId="0" applyFont="1" applyFill="1" applyBorder="1" applyAlignment="1">
      <alignment horizontal="center" vertical="center"/>
    </xf>
    <xf numFmtId="1" fontId="19" fillId="3" borderId="2" xfId="0" applyNumberFormat="1" applyFont="1" applyFill="1" applyBorder="1" applyAlignment="1" applyProtection="1">
      <alignment horizontal="center" vertical="center" wrapText="1"/>
    </xf>
    <xf numFmtId="0" fontId="19" fillId="3" borderId="0" xfId="0" applyFont="1" applyFill="1" applyAlignment="1">
      <alignment horizontal="center" vertical="center" wrapText="1"/>
    </xf>
    <xf numFmtId="0" fontId="19" fillId="3" borderId="15" xfId="0" applyFont="1" applyFill="1" applyBorder="1" applyAlignment="1">
      <alignment horizontal="center" vertical="center" wrapText="1"/>
    </xf>
    <xf numFmtId="0" fontId="7" fillId="5" borderId="6" xfId="0" applyFont="1" applyFill="1" applyBorder="1" applyAlignment="1">
      <alignment vertical="center"/>
    </xf>
    <xf numFmtId="0" fontId="7" fillId="2" borderId="1" xfId="0" applyFont="1" applyFill="1" applyBorder="1" applyAlignment="1" applyProtection="1">
      <alignment horizontal="center" vertical="center"/>
    </xf>
    <xf numFmtId="0" fontId="7" fillId="6" borderId="6" xfId="0" applyFont="1" applyFill="1" applyBorder="1" applyAlignment="1">
      <alignment vertical="center"/>
    </xf>
    <xf numFmtId="0" fontId="7" fillId="6" borderId="17" xfId="0" applyFont="1" applyFill="1" applyBorder="1" applyAlignment="1">
      <alignment vertical="center"/>
    </xf>
    <xf numFmtId="2" fontId="5" fillId="9" borderId="0" xfId="0" applyNumberFormat="1" applyFont="1" applyFill="1" applyBorder="1" applyAlignment="1">
      <alignment horizontal="right" vertical="center"/>
    </xf>
    <xf numFmtId="0" fontId="7" fillId="0" borderId="0" xfId="0" applyFont="1" applyFill="1" applyBorder="1" applyAlignment="1" applyProtection="1">
      <alignment horizontal="center" vertical="center"/>
    </xf>
    <xf numFmtId="0" fontId="7" fillId="6" borderId="17" xfId="0" applyFont="1" applyFill="1" applyBorder="1" applyAlignment="1">
      <alignment horizontal="left" vertical="center" wrapText="1"/>
    </xf>
    <xf numFmtId="0" fontId="7" fillId="0" borderId="0" xfId="0" applyFont="1" applyFill="1" applyBorder="1" applyAlignment="1">
      <alignment vertical="top" wrapText="1"/>
    </xf>
    <xf numFmtId="0" fontId="7" fillId="0" borderId="15" xfId="0" applyFont="1" applyFill="1" applyBorder="1" applyAlignment="1">
      <alignment vertical="center"/>
    </xf>
    <xf numFmtId="0" fontId="5" fillId="9" borderId="0" xfId="0" applyFont="1" applyFill="1" applyBorder="1" applyAlignment="1">
      <alignment horizontal="right" vertical="center"/>
    </xf>
    <xf numFmtId="0" fontId="0" fillId="0" borderId="25" xfId="0" applyFill="1" applyBorder="1"/>
    <xf numFmtId="0" fontId="0" fillId="0" borderId="18" xfId="0" applyFill="1" applyBorder="1"/>
    <xf numFmtId="0" fontId="5" fillId="9" borderId="44" xfId="0" applyFont="1" applyFill="1" applyBorder="1" applyAlignment="1">
      <alignment horizontal="center" vertical="center" wrapText="1"/>
    </xf>
    <xf numFmtId="0" fontId="5" fillId="0" borderId="15" xfId="0" applyFont="1" applyFill="1" applyBorder="1" applyAlignment="1">
      <alignment vertical="center"/>
    </xf>
    <xf numFmtId="0" fontId="7" fillId="0" borderId="0" xfId="0" applyFont="1" applyFill="1" applyBorder="1" applyAlignment="1">
      <alignment horizontal="left" vertical="center" wrapText="1"/>
    </xf>
    <xf numFmtId="0" fontId="5" fillId="9" borderId="0" xfId="0" applyFont="1" applyFill="1" applyAlignment="1">
      <alignment vertical="center"/>
    </xf>
    <xf numFmtId="0" fontId="5" fillId="9" borderId="0" xfId="0" applyFont="1" applyFill="1" applyBorder="1"/>
    <xf numFmtId="0" fontId="5" fillId="9" borderId="0" xfId="0" applyFont="1" applyFill="1" applyBorder="1" applyAlignment="1">
      <alignment wrapText="1"/>
    </xf>
    <xf numFmtId="2" fontId="5" fillId="9" borderId="0" xfId="0" applyNumberFormat="1" applyFont="1" applyFill="1" applyBorder="1" applyAlignment="1">
      <alignment horizontal="right"/>
    </xf>
    <xf numFmtId="0" fontId="5" fillId="9" borderId="0" xfId="0" applyFont="1" applyFill="1" applyBorder="1" applyAlignment="1">
      <alignment horizontal="left"/>
    </xf>
    <xf numFmtId="0" fontId="5" fillId="9" borderId="0" xfId="0" applyFont="1" applyFill="1" applyBorder="1" applyAlignment="1">
      <alignment horizontal="right"/>
    </xf>
    <xf numFmtId="0" fontId="0" fillId="0" borderId="0" xfId="0" applyFont="1" applyFill="1" applyBorder="1"/>
    <xf numFmtId="0" fontId="82" fillId="5" borderId="3" xfId="0" applyFont="1" applyFill="1" applyBorder="1" applyAlignment="1">
      <alignment vertical="center" wrapText="1"/>
    </xf>
    <xf numFmtId="0" fontId="82" fillId="5" borderId="4" xfId="0" applyFont="1" applyFill="1" applyBorder="1" applyAlignment="1">
      <alignment horizontal="center" vertical="center" wrapText="1"/>
    </xf>
    <xf numFmtId="0" fontId="82" fillId="5" borderId="4" xfId="0" applyFont="1" applyFill="1" applyBorder="1" applyAlignment="1" applyProtection="1">
      <alignment horizontal="center" vertical="center" wrapText="1"/>
    </xf>
    <xf numFmtId="0" fontId="82" fillId="5" borderId="19" xfId="0" applyFont="1" applyFill="1" applyBorder="1" applyAlignment="1">
      <alignment horizontal="center" vertical="center" wrapText="1"/>
    </xf>
    <xf numFmtId="0" fontId="43" fillId="0" borderId="0" xfId="0" applyFont="1" applyFill="1" applyBorder="1" applyAlignment="1">
      <alignment wrapText="1"/>
    </xf>
    <xf numFmtId="0" fontId="60" fillId="0" borderId="0" xfId="0" applyFont="1" applyBorder="1" applyAlignment="1">
      <alignment horizontal="center"/>
    </xf>
    <xf numFmtId="0" fontId="45" fillId="0" borderId="9" xfId="0" applyFont="1" applyBorder="1" applyAlignment="1">
      <alignment horizontal="left"/>
    </xf>
    <xf numFmtId="0" fontId="43" fillId="0" borderId="55" xfId="0" applyFont="1" applyFill="1" applyBorder="1" applyAlignment="1">
      <alignment horizontal="left"/>
    </xf>
    <xf numFmtId="0" fontId="0" fillId="0" borderId="14" xfId="0" applyFont="1" applyFill="1" applyBorder="1"/>
    <xf numFmtId="0" fontId="5" fillId="9" borderId="0" xfId="0" applyFont="1" applyFill="1" applyAlignment="1">
      <alignment horizontal="left" vertical="center" wrapText="1"/>
    </xf>
    <xf numFmtId="0" fontId="5" fillId="9" borderId="44" xfId="0" applyNumberFormat="1" applyFont="1" applyFill="1" applyBorder="1" applyAlignment="1">
      <alignment horizontal="center" vertical="center" wrapText="1"/>
    </xf>
    <xf numFmtId="0" fontId="5" fillId="9" borderId="25" xfId="0" applyFont="1" applyFill="1" applyBorder="1" applyAlignment="1">
      <alignment vertical="center"/>
    </xf>
    <xf numFmtId="0" fontId="9" fillId="9" borderId="0" xfId="0" applyFont="1" applyFill="1" applyBorder="1" applyAlignment="1">
      <alignment wrapText="1"/>
    </xf>
    <xf numFmtId="0" fontId="5" fillId="9" borderId="0" xfId="0" applyFont="1" applyFill="1" applyAlignment="1"/>
    <xf numFmtId="0" fontId="9" fillId="9" borderId="0" xfId="0" quotePrefix="1" applyFont="1" applyFill="1" applyBorder="1" applyAlignment="1">
      <alignment vertical="center" wrapText="1"/>
    </xf>
    <xf numFmtId="2" fontId="9" fillId="9" borderId="0" xfId="0" quotePrefix="1" applyNumberFormat="1" applyFont="1" applyFill="1" applyBorder="1" applyAlignment="1">
      <alignment vertical="center" wrapText="1"/>
    </xf>
    <xf numFmtId="0" fontId="9" fillId="9" borderId="0" xfId="0" applyFont="1" applyFill="1" applyAlignment="1">
      <alignment vertical="center" wrapText="1"/>
    </xf>
    <xf numFmtId="0" fontId="66" fillId="0" borderId="0" xfId="0" applyFont="1" applyFill="1" applyAlignment="1">
      <alignment horizontal="center" vertical="center"/>
    </xf>
    <xf numFmtId="0" fontId="9" fillId="2" borderId="38" xfId="0" applyFont="1" applyFill="1" applyBorder="1" applyAlignment="1" applyProtection="1">
      <alignment horizontal="center" vertical="center" wrapText="1"/>
      <protection locked="0"/>
    </xf>
    <xf numFmtId="0" fontId="5" fillId="9" borderId="35" xfId="0" applyFont="1" applyFill="1" applyBorder="1" applyAlignment="1">
      <alignment horizontal="left" vertical="center"/>
    </xf>
    <xf numFmtId="0" fontId="5" fillId="9" borderId="35" xfId="0" applyFont="1" applyFill="1" applyBorder="1" applyAlignment="1">
      <alignment horizontal="right" vertical="center"/>
    </xf>
    <xf numFmtId="0" fontId="5" fillId="9" borderId="35" xfId="0" applyFont="1" applyFill="1" applyBorder="1" applyAlignment="1">
      <alignment horizontal="center" vertical="center"/>
    </xf>
    <xf numFmtId="0" fontId="5" fillId="9" borderId="45" xfId="0" applyNumberFormat="1" applyFont="1" applyFill="1" applyBorder="1" applyAlignment="1">
      <alignment horizontal="center" vertical="center" wrapText="1"/>
    </xf>
    <xf numFmtId="0" fontId="0" fillId="0" borderId="35" xfId="0" applyFont="1" applyFill="1" applyBorder="1"/>
    <xf numFmtId="0" fontId="5" fillId="9" borderId="35" xfId="0" applyFont="1" applyFill="1" applyBorder="1" applyAlignment="1">
      <alignment horizontal="left" vertical="center" wrapText="1"/>
    </xf>
    <xf numFmtId="0" fontId="9" fillId="9" borderId="35" xfId="0" applyFont="1" applyFill="1" applyBorder="1" applyAlignment="1">
      <alignment horizontal="left" vertical="center"/>
    </xf>
    <xf numFmtId="0" fontId="14" fillId="9" borderId="35" xfId="0" applyFont="1" applyFill="1" applyBorder="1" applyAlignment="1">
      <alignment vertical="center" wrapText="1"/>
    </xf>
    <xf numFmtId="2" fontId="14" fillId="9" borderId="35" xfId="0" applyNumberFormat="1" applyFont="1" applyFill="1" applyBorder="1" applyAlignment="1">
      <alignment horizontal="right" vertical="center" wrapText="1"/>
    </xf>
    <xf numFmtId="1" fontId="14" fillId="9" borderId="35" xfId="0" applyNumberFormat="1" applyFont="1" applyFill="1" applyBorder="1" applyAlignment="1">
      <alignment horizontal="left" vertical="center" wrapText="1"/>
    </xf>
    <xf numFmtId="0" fontId="54" fillId="0" borderId="0" xfId="0" applyFont="1" applyBorder="1" applyAlignment="1">
      <alignment vertical="top" wrapText="1"/>
    </xf>
    <xf numFmtId="0" fontId="0" fillId="0" borderId="57" xfId="0" applyFont="1" applyBorder="1"/>
    <xf numFmtId="0" fontId="54" fillId="0" borderId="35" xfId="0" applyFont="1" applyFill="1" applyBorder="1" applyAlignment="1">
      <alignment vertical="center" wrapText="1"/>
    </xf>
    <xf numFmtId="0" fontId="0" fillId="0" borderId="58" xfId="0" applyFont="1" applyFill="1" applyBorder="1"/>
    <xf numFmtId="0" fontId="5" fillId="9" borderId="14" xfId="0" applyNumberFormat="1" applyFont="1" applyFill="1" applyBorder="1" applyAlignment="1">
      <alignment horizontal="center" vertical="center" wrapText="1"/>
    </xf>
    <xf numFmtId="9" fontId="5" fillId="9" borderId="58" xfId="0" applyNumberFormat="1" applyFont="1" applyFill="1" applyBorder="1" applyAlignment="1">
      <alignment horizontal="center" vertical="center" wrapText="1"/>
    </xf>
    <xf numFmtId="0" fontId="54" fillId="0" borderId="29" xfId="0" applyFont="1" applyBorder="1" applyAlignment="1">
      <alignment vertical="center" wrapText="1"/>
    </xf>
    <xf numFmtId="0" fontId="0" fillId="0" borderId="32" xfId="0" applyFont="1" applyFill="1" applyBorder="1"/>
    <xf numFmtId="0" fontId="0" fillId="0" borderId="34" xfId="0" applyFont="1" applyFill="1" applyBorder="1"/>
    <xf numFmtId="0" fontId="5" fillId="9" borderId="61" xfId="0" applyFont="1" applyFill="1" applyBorder="1" applyAlignment="1">
      <alignment horizontal="center"/>
    </xf>
    <xf numFmtId="0" fontId="14" fillId="9" borderId="62" xfId="0" applyFont="1" applyFill="1" applyBorder="1" applyAlignment="1">
      <alignment horizontal="center" vertical="center" wrapText="1"/>
    </xf>
    <xf numFmtId="0" fontId="5" fillId="9" borderId="63" xfId="0" applyFont="1" applyFill="1" applyBorder="1" applyAlignment="1">
      <alignment horizontal="center" vertical="center"/>
    </xf>
    <xf numFmtId="0" fontId="0" fillId="0" borderId="30" xfId="0" applyFont="1" applyFill="1" applyBorder="1"/>
    <xf numFmtId="0" fontId="0" fillId="0" borderId="27" xfId="0" applyFill="1" applyBorder="1"/>
    <xf numFmtId="0" fontId="0" fillId="0" borderId="28" xfId="0" applyFill="1" applyBorder="1"/>
    <xf numFmtId="0" fontId="0" fillId="0" borderId="24" xfId="0" applyFill="1" applyBorder="1"/>
    <xf numFmtId="0" fontId="0" fillId="0" borderId="59" xfId="0" applyBorder="1"/>
    <xf numFmtId="0" fontId="51" fillId="0" borderId="18" xfId="0" applyFont="1" applyBorder="1" applyAlignment="1">
      <alignment horizontal="left" vertical="top"/>
    </xf>
    <xf numFmtId="0" fontId="83" fillId="0" borderId="18" xfId="0" applyFont="1" applyFill="1" applyBorder="1"/>
    <xf numFmtId="0" fontId="51" fillId="0" borderId="0" xfId="0" applyFont="1" applyBorder="1" applyAlignment="1">
      <alignment vertical="top" wrapText="1"/>
    </xf>
    <xf numFmtId="0" fontId="54" fillId="0" borderId="0" xfId="0" applyFont="1" applyFill="1" applyBorder="1" applyAlignment="1">
      <alignment horizontal="left" vertical="center" wrapText="1"/>
    </xf>
    <xf numFmtId="0" fontId="54" fillId="9" borderId="0" xfId="0" applyFont="1" applyFill="1" applyBorder="1" applyAlignment="1">
      <alignment vertical="center" wrapText="1"/>
    </xf>
    <xf numFmtId="2" fontId="9" fillId="9" borderId="0" xfId="0" applyNumberFormat="1" applyFont="1" applyFill="1" applyBorder="1" applyAlignment="1">
      <alignment horizontal="right" vertical="center" wrapText="1"/>
    </xf>
    <xf numFmtId="0" fontId="5" fillId="9" borderId="61" xfId="0" applyFont="1" applyFill="1" applyBorder="1" applyAlignment="1">
      <alignment horizontal="center" vertical="center"/>
    </xf>
    <xf numFmtId="0" fontId="9" fillId="9" borderId="61" xfId="0" quotePrefix="1" applyFont="1" applyFill="1" applyBorder="1" applyAlignment="1">
      <alignment horizontal="center" vertical="center" wrapText="1"/>
    </xf>
    <xf numFmtId="0" fontId="9" fillId="9" borderId="61" xfId="0" applyFont="1" applyFill="1" applyBorder="1" applyAlignment="1">
      <alignment horizontal="center" vertical="center" wrapText="1"/>
    </xf>
    <xf numFmtId="0" fontId="76" fillId="0" borderId="0" xfId="0" applyFont="1" applyBorder="1"/>
    <xf numFmtId="0" fontId="5" fillId="9" borderId="63" xfId="0" applyFont="1" applyFill="1" applyBorder="1" applyAlignment="1">
      <alignment horizontal="center"/>
    </xf>
    <xf numFmtId="0" fontId="5" fillId="9" borderId="63" xfId="0" applyFont="1" applyFill="1" applyBorder="1" applyAlignment="1">
      <alignment horizontal="center" vertical="center" wrapText="1"/>
    </xf>
    <xf numFmtId="9" fontId="5" fillId="9" borderId="63" xfId="0" applyNumberFormat="1" applyFont="1" applyFill="1" applyBorder="1" applyAlignment="1">
      <alignment horizontal="center" vertical="center" wrapText="1"/>
    </xf>
    <xf numFmtId="0" fontId="5" fillId="9" borderId="63" xfId="0" applyNumberFormat="1" applyFont="1" applyFill="1" applyBorder="1" applyAlignment="1">
      <alignment horizontal="center" vertical="center" wrapText="1"/>
    </xf>
    <xf numFmtId="0" fontId="0" fillId="0" borderId="0" xfId="0" applyBorder="1" applyAlignment="1">
      <alignment wrapText="1"/>
    </xf>
    <xf numFmtId="0" fontId="54" fillId="0" borderId="25" xfId="0" applyFont="1" applyFill="1" applyBorder="1" applyAlignment="1">
      <alignment vertical="center" wrapText="1"/>
    </xf>
    <xf numFmtId="0" fontId="0" fillId="0" borderId="25" xfId="0" applyFont="1" applyBorder="1"/>
    <xf numFmtId="0" fontId="54" fillId="0" borderId="25" xfId="0" applyFont="1" applyFill="1" applyBorder="1" applyAlignment="1">
      <alignment horizontal="left" vertical="center" wrapText="1"/>
    </xf>
    <xf numFmtId="0" fontId="0" fillId="0" borderId="28" xfId="0" applyFont="1" applyBorder="1"/>
    <xf numFmtId="0" fontId="0" fillId="0" borderId="59" xfId="0" applyFont="1" applyBorder="1"/>
    <xf numFmtId="0" fontId="5" fillId="9" borderId="30" xfId="0" applyFont="1" applyFill="1" applyBorder="1" applyAlignment="1">
      <alignment horizontal="left" vertical="center" wrapText="1"/>
    </xf>
    <xf numFmtId="0" fontId="5" fillId="9" borderId="30" xfId="0" applyFont="1" applyFill="1" applyBorder="1" applyAlignment="1">
      <alignment horizontal="right" vertical="center"/>
    </xf>
    <xf numFmtId="0" fontId="9" fillId="9" borderId="30" xfId="0" applyFont="1" applyFill="1" applyBorder="1" applyAlignment="1">
      <alignment horizontal="left" vertical="center"/>
    </xf>
    <xf numFmtId="0" fontId="5" fillId="9" borderId="30" xfId="0" applyFont="1" applyFill="1" applyBorder="1" applyAlignment="1">
      <alignment horizontal="center" vertical="center"/>
    </xf>
    <xf numFmtId="0" fontId="5" fillId="9" borderId="64" xfId="0" applyNumberFormat="1" applyFont="1" applyFill="1" applyBorder="1" applyAlignment="1">
      <alignment horizontal="center" vertical="center" wrapText="1"/>
    </xf>
    <xf numFmtId="0" fontId="9" fillId="9" borderId="30" xfId="0" quotePrefix="1" applyFont="1" applyFill="1" applyBorder="1" applyAlignment="1">
      <alignment vertical="center" wrapText="1"/>
    </xf>
    <xf numFmtId="0" fontId="5" fillId="9" borderId="30" xfId="0" applyFont="1" applyFill="1" applyBorder="1" applyAlignment="1">
      <alignment vertical="center" wrapText="1"/>
    </xf>
    <xf numFmtId="0" fontId="9" fillId="9" borderId="60" xfId="0" quotePrefix="1" applyFont="1" applyFill="1" applyBorder="1" applyAlignment="1">
      <alignment horizontal="center" vertical="center" wrapText="1"/>
    </xf>
    <xf numFmtId="0" fontId="5" fillId="9" borderId="30" xfId="0" applyFont="1" applyFill="1" applyBorder="1" applyAlignment="1">
      <alignment horizontal="left" vertical="center"/>
    </xf>
    <xf numFmtId="0" fontId="5" fillId="9" borderId="65" xfId="0" applyNumberFormat="1" applyFont="1" applyFill="1" applyBorder="1" applyAlignment="1">
      <alignment horizontal="center" vertical="center" wrapText="1"/>
    </xf>
    <xf numFmtId="0" fontId="9" fillId="9" borderId="35" xfId="0" quotePrefix="1" applyFont="1" applyFill="1" applyBorder="1" applyAlignment="1">
      <alignment vertical="center" wrapText="1"/>
    </xf>
    <xf numFmtId="2" fontId="9" fillId="9" borderId="35" xfId="0" quotePrefix="1" applyNumberFormat="1" applyFont="1" applyFill="1" applyBorder="1" applyAlignment="1">
      <alignment vertical="center" wrapText="1"/>
    </xf>
    <xf numFmtId="0" fontId="9" fillId="9" borderId="62" xfId="0" quotePrefix="1" applyFont="1" applyFill="1" applyBorder="1" applyAlignment="1">
      <alignment horizontal="center" vertical="center" wrapText="1"/>
    </xf>
    <xf numFmtId="0" fontId="54" fillId="0" borderId="57" xfId="0" applyFont="1" applyFill="1" applyBorder="1" applyAlignment="1">
      <alignment vertical="center" wrapText="1"/>
    </xf>
    <xf numFmtId="0" fontId="54" fillId="0" borderId="59" xfId="0" applyFont="1" applyFill="1" applyBorder="1" applyAlignment="1">
      <alignment vertical="center" wrapText="1"/>
    </xf>
    <xf numFmtId="0" fontId="54" fillId="0" borderId="57" xfId="0" applyFont="1" applyFill="1" applyBorder="1" applyAlignment="1">
      <alignment horizontal="left" vertical="center" wrapText="1"/>
    </xf>
    <xf numFmtId="0" fontId="51" fillId="0" borderId="0" xfId="0" applyFont="1" applyBorder="1" applyAlignment="1">
      <alignment horizontal="left" vertical="top"/>
    </xf>
    <xf numFmtId="0" fontId="51" fillId="0" borderId="0" xfId="0" applyFont="1" applyBorder="1" applyAlignment="1">
      <alignment horizontal="left" vertical="top" wrapText="1"/>
    </xf>
    <xf numFmtId="0" fontId="53" fillId="0" borderId="0" xfId="0" applyFont="1" applyFill="1" applyBorder="1"/>
    <xf numFmtId="0" fontId="53" fillId="0" borderId="0" xfId="0" applyFont="1" applyFill="1" applyBorder="1" applyAlignment="1">
      <alignment wrapText="1"/>
    </xf>
    <xf numFmtId="0" fontId="54" fillId="0" borderId="0" xfId="0" applyFont="1" applyFill="1" applyBorder="1" applyAlignment="1">
      <alignment vertical="center"/>
    </xf>
    <xf numFmtId="0" fontId="0" fillId="9" borderId="0" xfId="0" applyFont="1" applyFill="1" applyBorder="1"/>
    <xf numFmtId="0" fontId="51" fillId="0" borderId="27" xfId="0" applyFont="1" applyBorder="1" applyAlignment="1">
      <alignment vertical="top" wrapText="1"/>
    </xf>
    <xf numFmtId="0" fontId="51" fillId="0" borderId="28" xfId="0" applyFont="1" applyBorder="1" applyAlignment="1">
      <alignment vertical="top" wrapText="1"/>
    </xf>
    <xf numFmtId="0" fontId="53" fillId="0" borderId="0" xfId="0" applyFont="1" applyBorder="1"/>
    <xf numFmtId="0" fontId="53" fillId="0" borderId="25" xfId="0" applyFont="1" applyBorder="1" applyAlignment="1">
      <alignment wrapText="1"/>
    </xf>
    <xf numFmtId="0" fontId="83" fillId="0" borderId="0" xfId="0" applyFont="1" applyBorder="1"/>
    <xf numFmtId="0" fontId="84" fillId="0" borderId="0" xfId="0" applyFont="1" applyBorder="1" applyAlignment="1">
      <alignment vertical="top" wrapText="1"/>
    </xf>
    <xf numFmtId="0" fontId="85" fillId="4" borderId="0" xfId="0" applyFont="1" applyFill="1" applyAlignment="1"/>
    <xf numFmtId="0" fontId="85" fillId="0" borderId="0" xfId="0" applyFont="1" applyFill="1" applyAlignment="1"/>
    <xf numFmtId="0" fontId="42" fillId="0" borderId="0" xfId="0" applyFont="1" applyFill="1" applyAlignment="1">
      <alignment horizontal="left"/>
    </xf>
    <xf numFmtId="2" fontId="42" fillId="0" borderId="0" xfId="0" applyNumberFormat="1" applyFont="1" applyFill="1" applyAlignment="1">
      <alignment horizontal="right" wrapText="1"/>
    </xf>
    <xf numFmtId="0" fontId="19" fillId="3" borderId="0" xfId="0" applyFont="1" applyFill="1" applyAlignment="1">
      <alignment vertical="center" wrapText="1"/>
    </xf>
    <xf numFmtId="2" fontId="5" fillId="9" borderId="56" xfId="0" applyNumberFormat="1" applyFont="1" applyFill="1" applyBorder="1" applyAlignment="1">
      <alignment horizontal="center" vertical="center"/>
    </xf>
    <xf numFmtId="0" fontId="5" fillId="9" borderId="45" xfId="0" applyFont="1" applyFill="1" applyBorder="1" applyAlignment="1">
      <alignment horizontal="center" vertical="center" wrapText="1"/>
    </xf>
    <xf numFmtId="0" fontId="5" fillId="0" borderId="0" xfId="0" applyFont="1" applyFill="1" applyBorder="1" applyAlignment="1" applyProtection="1">
      <alignment horizontal="center" vertical="center"/>
    </xf>
    <xf numFmtId="2" fontId="5" fillId="9" borderId="30" xfId="0" applyNumberFormat="1" applyFont="1" applyFill="1" applyBorder="1" applyAlignment="1">
      <alignment horizontal="right" vertical="center"/>
    </xf>
    <xf numFmtId="2" fontId="5" fillId="9" borderId="30" xfId="0" applyNumberFormat="1" applyFont="1" applyFill="1" applyBorder="1" applyAlignment="1">
      <alignment horizontal="center" vertical="center"/>
    </xf>
    <xf numFmtId="0" fontId="3"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5" fillId="0" borderId="0" xfId="0" applyFont="1" applyFill="1" applyBorder="1" applyAlignment="1" applyProtection="1">
      <alignment horizontal="center" vertical="center" wrapText="1"/>
    </xf>
    <xf numFmtId="0" fontId="5" fillId="0" borderId="0" xfId="0" applyFont="1" applyFill="1" applyBorder="1" applyAlignment="1">
      <alignment horizontal="center" vertical="center" wrapText="1"/>
    </xf>
    <xf numFmtId="0" fontId="9" fillId="0" borderId="0" xfId="0" applyNumberFormat="1" applyFont="1" applyFill="1" applyBorder="1" applyAlignment="1">
      <alignment vertical="top" wrapText="1"/>
    </xf>
    <xf numFmtId="164" fontId="5" fillId="9" borderId="0" xfId="0" applyNumberFormat="1" applyFont="1" applyFill="1" applyBorder="1" applyAlignment="1">
      <alignment horizontal="right" vertical="center"/>
    </xf>
    <xf numFmtId="164" fontId="5" fillId="9" borderId="0" xfId="0" applyNumberFormat="1" applyFont="1" applyFill="1" applyBorder="1" applyAlignment="1">
      <alignment horizontal="center" vertical="center"/>
    </xf>
    <xf numFmtId="0" fontId="9" fillId="6" borderId="0" xfId="0" applyFont="1" applyFill="1" applyAlignment="1">
      <alignment horizontal="center" vertical="center"/>
    </xf>
    <xf numFmtId="0" fontId="7" fillId="5" borderId="0" xfId="0" applyFont="1" applyFill="1" applyAlignment="1">
      <alignment vertical="center"/>
    </xf>
    <xf numFmtId="0" fontId="7" fillId="3" borderId="0" xfId="0" applyFont="1" applyFill="1" applyAlignment="1">
      <alignment vertical="center" wrapText="1"/>
    </xf>
    <xf numFmtId="0" fontId="7" fillId="6" borderId="6" xfId="0" applyFont="1" applyFill="1" applyBorder="1"/>
    <xf numFmtId="0" fontId="7" fillId="6" borderId="0" xfId="0" applyFont="1" applyFill="1" applyBorder="1"/>
    <xf numFmtId="167" fontId="9" fillId="0" borderId="0" xfId="1" applyNumberFormat="1" applyFont="1" applyFill="1" applyBorder="1" applyAlignment="1">
      <alignment vertical="center"/>
    </xf>
    <xf numFmtId="164" fontId="5" fillId="0" borderId="0" xfId="0" applyNumberFormat="1" applyFont="1" applyFill="1" applyBorder="1" applyAlignment="1">
      <alignment horizontal="right" vertical="center"/>
    </xf>
    <xf numFmtId="0" fontId="31" fillId="0" borderId="11" xfId="0" applyFont="1" applyFill="1" applyBorder="1" applyAlignment="1">
      <alignment vertical="center"/>
    </xf>
    <xf numFmtId="0" fontId="5" fillId="9" borderId="56" xfId="0" applyFont="1" applyFill="1" applyBorder="1" applyAlignment="1">
      <alignment horizontal="center" vertical="center"/>
    </xf>
    <xf numFmtId="0" fontId="54" fillId="0" borderId="0" xfId="0" applyFont="1" applyBorder="1" applyAlignment="1">
      <alignment vertical="center" wrapText="1"/>
    </xf>
    <xf numFmtId="0" fontId="5" fillId="9" borderId="67" xfId="0" applyNumberFormat="1" applyFont="1" applyFill="1" applyBorder="1" applyAlignment="1">
      <alignment horizontal="center" vertical="center" wrapText="1"/>
    </xf>
    <xf numFmtId="1" fontId="6" fillId="3" borderId="39" xfId="0" applyNumberFormat="1" applyFont="1" applyFill="1" applyBorder="1" applyAlignment="1" applyProtection="1">
      <alignment horizontal="right" vertical="center" wrapText="1"/>
    </xf>
    <xf numFmtId="0" fontId="0" fillId="0" borderId="68" xfId="0" applyNumberFormat="1" applyBorder="1" applyProtection="1"/>
    <xf numFmtId="164" fontId="5" fillId="2" borderId="70" xfId="0" applyNumberFormat="1" applyFont="1" applyFill="1" applyBorder="1" applyAlignment="1" applyProtection="1">
      <alignment horizontal="right" vertical="center"/>
    </xf>
    <xf numFmtId="0" fontId="9" fillId="6" borderId="69" xfId="0" applyFont="1" applyFill="1" applyBorder="1" applyAlignment="1">
      <alignment vertical="center"/>
    </xf>
    <xf numFmtId="0" fontId="0" fillId="0" borderId="71" xfId="0" applyBorder="1"/>
    <xf numFmtId="0" fontId="0" fillId="0" borderId="72" xfId="0" applyBorder="1"/>
    <xf numFmtId="0" fontId="5" fillId="9" borderId="0" xfId="0" applyNumberFormat="1" applyFont="1" applyFill="1" applyBorder="1" applyAlignment="1">
      <alignment horizontal="right" vertical="center"/>
    </xf>
    <xf numFmtId="0" fontId="9" fillId="2" borderId="38" xfId="0" applyFont="1" applyFill="1" applyBorder="1" applyAlignment="1" applyProtection="1">
      <alignment horizontal="right" vertical="center"/>
    </xf>
    <xf numFmtId="0" fontId="7" fillId="6" borderId="6" xfId="0" applyFont="1" applyFill="1" applyBorder="1" applyAlignment="1">
      <alignment vertical="center" wrapText="1"/>
    </xf>
    <xf numFmtId="9" fontId="5" fillId="9" borderId="0" xfId="0" applyNumberFormat="1" applyFont="1" applyFill="1" applyBorder="1" applyAlignment="1">
      <alignment horizontal="center" vertical="center"/>
    </xf>
    <xf numFmtId="2" fontId="5" fillId="9" borderId="35" xfId="0" applyNumberFormat="1" applyFont="1" applyFill="1" applyBorder="1" applyAlignment="1">
      <alignment horizontal="right" vertical="center"/>
    </xf>
    <xf numFmtId="0" fontId="4" fillId="4" borderId="0" xfId="0" applyFont="1" applyFill="1" applyBorder="1" applyAlignment="1">
      <alignment vertical="center" wrapText="1"/>
    </xf>
    <xf numFmtId="0" fontId="9" fillId="4" borderId="0" xfId="0" applyFont="1" applyFill="1" applyAlignment="1">
      <alignment horizontal="left" vertical="top" wrapText="1"/>
    </xf>
    <xf numFmtId="0" fontId="5" fillId="4" borderId="0" xfId="0" applyNumberFormat="1" applyFont="1" applyFill="1" applyAlignment="1">
      <alignment horizontal="right" vertical="center"/>
    </xf>
    <xf numFmtId="9" fontId="5" fillId="9" borderId="35" xfId="0" applyNumberFormat="1" applyFont="1" applyFill="1" applyBorder="1" applyAlignment="1">
      <alignment horizontal="center" vertical="center"/>
    </xf>
    <xf numFmtId="2" fontId="5" fillId="9" borderId="44" xfId="0" applyNumberFormat="1" applyFont="1" applyFill="1" applyBorder="1" applyAlignment="1">
      <alignment horizontal="center" vertical="center" wrapText="1"/>
    </xf>
    <xf numFmtId="0" fontId="9" fillId="0" borderId="15" xfId="0" applyNumberFormat="1" applyFont="1" applyFill="1" applyBorder="1" applyAlignment="1">
      <alignment vertical="top" wrapText="1"/>
    </xf>
    <xf numFmtId="0" fontId="5" fillId="0" borderId="7" xfId="0" applyFont="1" applyFill="1" applyBorder="1" applyAlignment="1" applyProtection="1">
      <alignment horizontal="center" vertical="center"/>
    </xf>
    <xf numFmtId="0" fontId="9" fillId="0" borderId="0" xfId="0" applyFont="1" applyBorder="1" applyAlignment="1" applyProtection="1">
      <alignment horizontal="right" vertical="center"/>
    </xf>
    <xf numFmtId="0" fontId="5" fillId="0" borderId="7" xfId="0" applyFont="1" applyFill="1" applyBorder="1" applyAlignment="1">
      <alignment vertical="center"/>
    </xf>
    <xf numFmtId="0" fontId="7" fillId="5" borderId="0" xfId="0" applyFont="1" applyFill="1" applyBorder="1" applyAlignment="1">
      <alignment vertical="center"/>
    </xf>
    <xf numFmtId="2" fontId="9" fillId="6" borderId="2" xfId="4" applyNumberFormat="1" applyFont="1" applyFill="1" applyBorder="1" applyAlignment="1" applyProtection="1">
      <alignment horizontal="center" vertical="center"/>
    </xf>
    <xf numFmtId="164" fontId="5" fillId="9" borderId="30" xfId="0" applyNumberFormat="1" applyFont="1" applyFill="1" applyBorder="1" applyAlignment="1">
      <alignment horizontal="right" vertical="center"/>
    </xf>
    <xf numFmtId="164" fontId="9" fillId="6" borderId="2" xfId="4" applyNumberFormat="1" applyFont="1" applyFill="1" applyBorder="1" applyAlignment="1" applyProtection="1">
      <alignment horizontal="right" vertical="center"/>
    </xf>
    <xf numFmtId="0" fontId="7" fillId="6" borderId="6" xfId="0" applyFont="1" applyFill="1" applyBorder="1" applyAlignment="1">
      <alignment horizontal="left" vertical="center"/>
    </xf>
    <xf numFmtId="0" fontId="7" fillId="9" borderId="6" xfId="0" applyFont="1" applyFill="1" applyBorder="1" applyAlignment="1">
      <alignment vertical="center"/>
    </xf>
    <xf numFmtId="4" fontId="9" fillId="9" borderId="61" xfId="0" applyNumberFormat="1" applyFont="1" applyFill="1" applyBorder="1" applyAlignment="1">
      <alignment horizontal="center" vertical="center" wrapText="1"/>
    </xf>
    <xf numFmtId="4" fontId="9" fillId="0" borderId="0" xfId="0" applyNumberFormat="1" applyFont="1" applyFill="1" applyBorder="1" applyAlignment="1" applyProtection="1">
      <alignment horizontal="right" vertical="center" wrapText="1"/>
    </xf>
    <xf numFmtId="0" fontId="9"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19" fillId="5" borderId="3" xfId="0" applyFont="1" applyFill="1" applyBorder="1" applyAlignment="1">
      <alignment horizontal="left" vertical="center" wrapText="1"/>
    </xf>
    <xf numFmtId="0" fontId="19" fillId="3" borderId="0" xfId="0" applyFont="1" applyFill="1" applyAlignment="1">
      <alignment horizontal="left" vertical="center" wrapText="1"/>
    </xf>
    <xf numFmtId="2" fontId="5" fillId="9" borderId="63" xfId="0" applyNumberFormat="1" applyFont="1" applyFill="1" applyBorder="1" applyAlignment="1">
      <alignment horizontal="center" vertical="center" wrapText="1"/>
    </xf>
    <xf numFmtId="9" fontId="5" fillId="9" borderId="30" xfId="0" applyNumberFormat="1" applyFont="1" applyFill="1" applyBorder="1" applyAlignment="1">
      <alignment horizontal="center" vertical="center"/>
    </xf>
    <xf numFmtId="1" fontId="9" fillId="2" borderId="1" xfId="0" applyNumberFormat="1" applyFont="1" applyFill="1" applyBorder="1" applyAlignment="1" applyProtection="1">
      <alignment horizontal="right" vertical="center"/>
    </xf>
    <xf numFmtId="2" fontId="9" fillId="2" borderId="1" xfId="0" applyNumberFormat="1" applyFont="1" applyFill="1" applyBorder="1" applyAlignment="1" applyProtection="1">
      <alignment horizontal="right" vertical="center"/>
    </xf>
    <xf numFmtId="164" fontId="5" fillId="2" borderId="1" xfId="0" applyNumberFormat="1" applyFont="1" applyFill="1" applyBorder="1" applyAlignment="1" applyProtection="1">
      <alignment horizontal="right" vertical="center"/>
    </xf>
    <xf numFmtId="1" fontId="9" fillId="4" borderId="0" xfId="0" applyNumberFormat="1" applyFont="1" applyFill="1" applyBorder="1"/>
    <xf numFmtId="0" fontId="6" fillId="0" borderId="0" xfId="0" applyFont="1" applyFill="1" applyBorder="1" applyAlignment="1">
      <alignment horizontal="left" vertical="center"/>
    </xf>
    <xf numFmtId="165" fontId="0" fillId="0" borderId="0" xfId="0" applyNumberFormat="1"/>
    <xf numFmtId="164" fontId="5" fillId="4" borderId="0" xfId="0" applyNumberFormat="1" applyFont="1" applyFill="1"/>
    <xf numFmtId="164" fontId="80" fillId="4" borderId="0" xfId="0" applyNumberFormat="1" applyFont="1" applyFill="1"/>
    <xf numFmtId="0" fontId="9" fillId="4" borderId="17" xfId="0" applyFont="1" applyFill="1" applyBorder="1" applyAlignment="1">
      <alignment vertical="center" wrapText="1"/>
    </xf>
    <xf numFmtId="0" fontId="8" fillId="8" borderId="29" xfId="0" applyFont="1" applyFill="1" applyBorder="1"/>
    <xf numFmtId="0" fontId="0" fillId="8" borderId="30" xfId="0" applyFill="1" applyBorder="1"/>
    <xf numFmtId="0" fontId="8" fillId="8" borderId="31" xfId="0" applyFont="1" applyFill="1" applyBorder="1"/>
    <xf numFmtId="0" fontId="0" fillId="8" borderId="0" xfId="0" applyFill="1"/>
    <xf numFmtId="0" fontId="0" fillId="8" borderId="32" xfId="0" applyFill="1" applyBorder="1"/>
    <xf numFmtId="0" fontId="0" fillId="8" borderId="0" xfId="0" applyFill="1" applyBorder="1"/>
    <xf numFmtId="0" fontId="0" fillId="8" borderId="33" xfId="0" applyFill="1" applyBorder="1"/>
    <xf numFmtId="166" fontId="8" fillId="8" borderId="32" xfId="0" applyNumberFormat="1" applyFont="1" applyFill="1" applyBorder="1"/>
    <xf numFmtId="0" fontId="6" fillId="8" borderId="0" xfId="0" applyFont="1" applyFill="1" applyBorder="1" applyAlignment="1">
      <alignment horizontal="left" vertical="center"/>
    </xf>
    <xf numFmtId="166" fontId="0" fillId="8" borderId="33" xfId="0" applyNumberFormat="1" applyFill="1" applyBorder="1"/>
    <xf numFmtId="165" fontId="8" fillId="8" borderId="32" xfId="0" applyNumberFormat="1" applyFont="1" applyFill="1" applyBorder="1"/>
    <xf numFmtId="165" fontId="0" fillId="8" borderId="33" xfId="0" applyNumberFormat="1" applyFill="1" applyBorder="1"/>
    <xf numFmtId="0" fontId="0" fillId="8" borderId="34" xfId="0" applyFill="1" applyBorder="1"/>
    <xf numFmtId="0" fontId="0" fillId="8" borderId="35" xfId="0" applyFill="1" applyBorder="1"/>
    <xf numFmtId="0" fontId="0" fillId="8" borderId="36" xfId="0" applyFill="1" applyBorder="1"/>
    <xf numFmtId="0" fontId="8" fillId="8" borderId="0" xfId="0" applyFont="1" applyFill="1"/>
    <xf numFmtId="164" fontId="0" fillId="8" borderId="0" xfId="0" applyNumberFormat="1" applyFill="1"/>
    <xf numFmtId="0" fontId="8" fillId="8" borderId="0" xfId="0" applyFont="1" applyFill="1" applyBorder="1"/>
    <xf numFmtId="2" fontId="8" fillId="8" borderId="0" xfId="0" applyNumberFormat="1" applyFont="1" applyFill="1"/>
    <xf numFmtId="0" fontId="9" fillId="4" borderId="0" xfId="1" applyNumberFormat="1" applyFont="1" applyFill="1" applyBorder="1" applyAlignment="1"/>
    <xf numFmtId="2" fontId="5" fillId="6" borderId="22" xfId="0" applyNumberFormat="1" applyFont="1" applyFill="1" applyBorder="1" applyAlignment="1" applyProtection="1">
      <alignment horizontal="right" vertical="center"/>
    </xf>
    <xf numFmtId="2" fontId="9" fillId="4" borderId="0" xfId="0" applyNumberFormat="1" applyFont="1" applyFill="1" applyAlignment="1">
      <alignment horizontal="center" vertical="center"/>
    </xf>
    <xf numFmtId="2" fontId="5" fillId="6" borderId="2" xfId="4" applyNumberFormat="1" applyFont="1" applyFill="1" applyBorder="1" applyAlignment="1" applyProtection="1">
      <alignment horizontal="center" vertical="center"/>
    </xf>
    <xf numFmtId="0" fontId="0" fillId="12" borderId="0" xfId="0" applyFill="1"/>
    <xf numFmtId="0" fontId="0" fillId="12" borderId="0" xfId="0" applyFill="1" applyAlignment="1">
      <alignment horizontal="center" vertical="center"/>
    </xf>
    <xf numFmtId="0" fontId="5" fillId="12" borderId="0" xfId="0" applyFont="1" applyFill="1"/>
    <xf numFmtId="0" fontId="5" fillId="12" borderId="0" xfId="0" applyFont="1" applyFill="1" applyBorder="1" applyAlignment="1">
      <alignment vertical="center"/>
    </xf>
    <xf numFmtId="0" fontId="5" fillId="12" borderId="0" xfId="0" applyFont="1" applyFill="1" applyAlignment="1">
      <alignment horizontal="left" vertical="center" wrapText="1"/>
    </xf>
    <xf numFmtId="0" fontId="5" fillId="12" borderId="0" xfId="0" applyFont="1" applyFill="1" applyAlignment="1">
      <alignment horizontal="left" vertical="center"/>
    </xf>
    <xf numFmtId="0" fontId="9" fillId="12" borderId="0" xfId="0" applyFont="1" applyFill="1"/>
    <xf numFmtId="0" fontId="9" fillId="12" borderId="0" xfId="0" applyFont="1" applyFill="1" applyAlignment="1">
      <alignment vertical="center"/>
    </xf>
    <xf numFmtId="0" fontId="5" fillId="12" borderId="0" xfId="0" applyFont="1" applyFill="1" applyAlignment="1">
      <alignment vertical="center"/>
    </xf>
    <xf numFmtId="0" fontId="9" fillId="12" borderId="0" xfId="0" applyFont="1" applyFill="1" applyBorder="1" applyAlignment="1">
      <alignment vertical="center" wrapText="1"/>
    </xf>
    <xf numFmtId="0" fontId="9" fillId="12" borderId="0" xfId="0" applyFont="1" applyFill="1" applyBorder="1" applyAlignment="1">
      <alignment vertical="center"/>
    </xf>
    <xf numFmtId="0" fontId="5" fillId="12" borderId="0" xfId="0" applyFont="1" applyFill="1" applyBorder="1" applyAlignment="1">
      <alignment vertical="center" wrapText="1"/>
    </xf>
    <xf numFmtId="0" fontId="9" fillId="12" borderId="0" xfId="0" applyFont="1" applyFill="1" applyAlignment="1">
      <alignment vertical="center" wrapText="1"/>
    </xf>
    <xf numFmtId="0" fontId="9" fillId="12" borderId="25" xfId="0" applyFont="1" applyFill="1" applyBorder="1" applyAlignment="1">
      <alignment wrapText="1"/>
    </xf>
    <xf numFmtId="0" fontId="9" fillId="12" borderId="25" xfId="0" applyFont="1" applyFill="1" applyBorder="1" applyAlignment="1">
      <alignment vertical="top" wrapText="1"/>
    </xf>
    <xf numFmtId="0" fontId="5" fillId="12" borderId="25" xfId="0" applyFont="1" applyFill="1" applyBorder="1" applyAlignment="1">
      <alignment vertical="center" wrapText="1"/>
    </xf>
    <xf numFmtId="0" fontId="5" fillId="12" borderId="25" xfId="0" applyFont="1" applyFill="1" applyBorder="1" applyAlignment="1">
      <alignment vertical="center"/>
    </xf>
    <xf numFmtId="0" fontId="9" fillId="12" borderId="0" xfId="0" applyFont="1" applyFill="1" applyBorder="1" applyAlignment="1" applyProtection="1">
      <alignment vertical="center"/>
      <protection locked="0"/>
    </xf>
    <xf numFmtId="0" fontId="9" fillId="12" borderId="0" xfId="0" applyFont="1" applyFill="1" applyAlignment="1">
      <alignment horizontal="left" vertical="center"/>
    </xf>
    <xf numFmtId="0" fontId="0" fillId="0" borderId="0" xfId="0" applyFill="1" applyAlignment="1">
      <alignment horizontal="left"/>
    </xf>
    <xf numFmtId="0" fontId="66" fillId="0" borderId="0" xfId="0" applyFont="1" applyFill="1" applyBorder="1" applyAlignment="1">
      <alignment horizontal="center" vertical="center"/>
    </xf>
    <xf numFmtId="0" fontId="9" fillId="0" borderId="0" xfId="0" applyFont="1" applyFill="1" applyBorder="1" applyAlignment="1">
      <alignment wrapText="1"/>
    </xf>
    <xf numFmtId="1" fontId="9" fillId="0" borderId="0" xfId="0" applyNumberFormat="1" applyFont="1" applyFill="1" applyBorder="1" applyAlignment="1">
      <alignment vertical="center" wrapText="1"/>
    </xf>
    <xf numFmtId="0" fontId="7" fillId="0" borderId="0" xfId="0" applyFont="1" applyFill="1" applyBorder="1" applyAlignment="1">
      <alignment vertical="center" wrapText="1"/>
    </xf>
    <xf numFmtId="0" fontId="9" fillId="0" borderId="19" xfId="0" applyFont="1" applyFill="1" applyBorder="1" applyAlignment="1">
      <alignment horizontal="center" vertical="center"/>
    </xf>
    <xf numFmtId="0" fontId="7" fillId="0" borderId="0" xfId="0" applyFont="1" applyFill="1" applyBorder="1"/>
    <xf numFmtId="0" fontId="5" fillId="0" borderId="0" xfId="0" applyFont="1" applyFill="1" applyBorder="1" applyAlignment="1" applyProtection="1">
      <alignment vertical="center"/>
      <protection locked="0"/>
    </xf>
    <xf numFmtId="2" fontId="9" fillId="0" borderId="0" xfId="0" applyNumberFormat="1" applyFont="1" applyFill="1" applyBorder="1" applyAlignment="1">
      <alignment vertical="center" wrapText="1"/>
    </xf>
    <xf numFmtId="2" fontId="9" fillId="0" borderId="0" xfId="0" applyNumberFormat="1" applyFont="1" applyFill="1" applyBorder="1" applyAlignment="1">
      <alignment vertical="center"/>
    </xf>
    <xf numFmtId="0" fontId="5" fillId="0" borderId="0" xfId="0" applyFont="1" applyFill="1" applyAlignment="1">
      <alignment wrapText="1"/>
    </xf>
    <xf numFmtId="0" fontId="0" fillId="2" borderId="0" xfId="0" applyFill="1"/>
    <xf numFmtId="0" fontId="9" fillId="9" borderId="20" xfId="0" applyFont="1" applyFill="1" applyBorder="1" applyAlignment="1">
      <alignment horizontal="center" vertical="center"/>
    </xf>
    <xf numFmtId="0" fontId="0" fillId="13" borderId="0" xfId="0" applyFill="1"/>
    <xf numFmtId="0" fontId="0" fillId="13" borderId="0" xfId="0" applyFill="1" applyAlignment="1">
      <alignment horizontal="center" vertical="center"/>
    </xf>
    <xf numFmtId="0" fontId="9" fillId="4" borderId="6" xfId="0" applyFont="1" applyFill="1" applyBorder="1" applyAlignment="1" applyProtection="1">
      <alignment horizontal="center" vertical="center"/>
    </xf>
    <xf numFmtId="0" fontId="9" fillId="3" borderId="15" xfId="0" applyFont="1" applyFill="1" applyBorder="1" applyAlignment="1">
      <alignment horizontal="center" vertical="center"/>
    </xf>
    <xf numFmtId="0" fontId="9" fillId="6" borderId="17" xfId="0" applyFont="1" applyFill="1" applyBorder="1" applyAlignment="1">
      <alignment horizontal="left" vertical="center" wrapText="1"/>
    </xf>
    <xf numFmtId="2" fontId="9" fillId="9" borderId="30" xfId="0" quotePrefix="1" applyNumberFormat="1" applyFont="1" applyFill="1" applyBorder="1" applyAlignment="1">
      <alignment horizontal="right" vertical="center" wrapText="1"/>
    </xf>
    <xf numFmtId="165" fontId="9" fillId="9" borderId="2" xfId="1" applyNumberFormat="1" applyFont="1" applyFill="1" applyBorder="1" applyAlignment="1">
      <alignment horizontal="right" vertical="center"/>
    </xf>
    <xf numFmtId="0" fontId="9" fillId="3" borderId="0" xfId="0" applyFont="1" applyFill="1" applyAlignment="1">
      <alignment wrapText="1"/>
    </xf>
    <xf numFmtId="0" fontId="6" fillId="3" borderId="0" xfId="0" applyFont="1" applyFill="1" applyAlignment="1">
      <alignment horizontal="center" vertical="center" wrapText="1"/>
    </xf>
    <xf numFmtId="3" fontId="9" fillId="2" borderId="1" xfId="0" applyNumberFormat="1" applyFont="1" applyFill="1" applyBorder="1" applyAlignment="1" applyProtection="1">
      <alignment horizontal="right" vertical="center" wrapText="1"/>
    </xf>
    <xf numFmtId="2" fontId="9" fillId="2" borderId="1" xfId="0" applyNumberFormat="1" applyFont="1" applyFill="1" applyBorder="1" applyAlignment="1" applyProtection="1">
      <alignment horizontal="right" vertical="center" wrapText="1"/>
    </xf>
    <xf numFmtId="0" fontId="5" fillId="9" borderId="44" xfId="0" applyFont="1" applyFill="1" applyBorder="1" applyAlignment="1">
      <alignment horizontal="center"/>
    </xf>
    <xf numFmtId="0" fontId="54" fillId="0" borderId="0" xfId="0" applyFont="1" applyBorder="1"/>
    <xf numFmtId="49" fontId="54" fillId="0" borderId="0" xfId="0" applyNumberFormat="1" applyFont="1" applyBorder="1" applyAlignment="1">
      <alignment wrapText="1"/>
    </xf>
    <xf numFmtId="0" fontId="9" fillId="6" borderId="17" xfId="0" applyFont="1" applyFill="1" applyBorder="1" applyAlignment="1">
      <alignment vertical="center" wrapText="1"/>
    </xf>
    <xf numFmtId="0" fontId="5" fillId="9" borderId="60" xfId="0" applyFont="1" applyFill="1" applyBorder="1" applyAlignment="1">
      <alignment horizontal="center" vertical="center"/>
    </xf>
    <xf numFmtId="0" fontId="5" fillId="9" borderId="67" xfId="0" applyFont="1" applyFill="1" applyBorder="1" applyAlignment="1">
      <alignment horizontal="center" vertical="center"/>
    </xf>
    <xf numFmtId="0" fontId="9" fillId="0" borderId="0" xfId="0" applyFont="1" applyFill="1" applyBorder="1" applyAlignment="1" applyProtection="1">
      <alignment horizontal="center" vertical="center"/>
    </xf>
    <xf numFmtId="0" fontId="9" fillId="0" borderId="0" xfId="0" applyFont="1" applyFill="1" applyBorder="1" applyAlignment="1">
      <alignment vertical="top" wrapText="1"/>
    </xf>
    <xf numFmtId="0" fontId="5" fillId="0" borderId="0" xfId="0" applyFont="1" applyFill="1" applyBorder="1" applyAlignment="1" applyProtection="1">
      <alignment horizontal="center" vertical="center"/>
      <protection locked="0"/>
    </xf>
    <xf numFmtId="0" fontId="5" fillId="9" borderId="62" xfId="0" applyFont="1" applyFill="1" applyBorder="1" applyAlignment="1">
      <alignment horizontal="center" vertical="center"/>
    </xf>
    <xf numFmtId="0" fontId="5" fillId="9" borderId="66" xfId="0" applyFont="1" applyFill="1" applyBorder="1" applyAlignment="1">
      <alignment horizontal="center" vertical="center"/>
    </xf>
    <xf numFmtId="2" fontId="14" fillId="9" borderId="30" xfId="0" applyNumberFormat="1" applyFont="1" applyFill="1" applyBorder="1" applyAlignment="1">
      <alignment horizontal="right" vertical="center" wrapText="1"/>
    </xf>
    <xf numFmtId="0" fontId="14" fillId="9" borderId="30" xfId="0" applyFont="1" applyFill="1" applyBorder="1" applyAlignment="1">
      <alignment horizontal="left" vertical="center" wrapText="1"/>
    </xf>
    <xf numFmtId="0" fontId="14" fillId="9" borderId="60" xfId="0" applyFont="1" applyFill="1" applyBorder="1" applyAlignment="1">
      <alignment horizontal="center" vertical="center" wrapText="1"/>
    </xf>
    <xf numFmtId="0" fontId="14" fillId="9" borderId="0" xfId="0" applyFont="1" applyFill="1" applyBorder="1" applyAlignment="1">
      <alignment horizontal="left" vertical="center" wrapText="1"/>
    </xf>
    <xf numFmtId="0" fontId="14" fillId="9" borderId="61" xfId="0" applyFont="1" applyFill="1" applyBorder="1" applyAlignment="1">
      <alignment horizontal="center" vertical="center" wrapText="1"/>
    </xf>
    <xf numFmtId="0" fontId="14" fillId="12" borderId="0" xfId="0" applyFont="1" applyFill="1" applyBorder="1" applyAlignment="1">
      <alignment vertical="center" wrapText="1"/>
    </xf>
    <xf numFmtId="0" fontId="5" fillId="9" borderId="0" xfId="0" applyFont="1" applyFill="1" applyBorder="1" applyAlignment="1">
      <alignment horizontal="right" vertical="center" wrapText="1"/>
    </xf>
    <xf numFmtId="0" fontId="5" fillId="9" borderId="0" xfId="0" applyFont="1" applyFill="1" applyBorder="1" applyAlignment="1"/>
    <xf numFmtId="1" fontId="6" fillId="4" borderId="0" xfId="0" applyNumberFormat="1" applyFont="1" applyFill="1" applyBorder="1" applyAlignment="1">
      <alignment horizontal="center" vertical="center" wrapText="1"/>
    </xf>
    <xf numFmtId="0" fontId="5" fillId="4" borderId="0" xfId="0" applyFont="1" applyFill="1" applyBorder="1" applyAlignment="1">
      <alignment horizontal="left" vertical="center" wrapText="1"/>
    </xf>
    <xf numFmtId="0" fontId="5" fillId="13" borderId="25" xfId="0" applyFont="1" applyFill="1" applyBorder="1" applyAlignment="1">
      <alignment vertical="center"/>
    </xf>
    <xf numFmtId="164" fontId="9" fillId="3" borderId="2" xfId="0" applyNumberFormat="1" applyFont="1" applyFill="1" applyBorder="1" applyAlignment="1" applyProtection="1">
      <alignment horizontal="center" vertical="center" wrapText="1"/>
    </xf>
    <xf numFmtId="0" fontId="19" fillId="4" borderId="0" xfId="0" applyFont="1" applyFill="1" applyBorder="1" applyAlignment="1">
      <alignment vertical="center" wrapText="1"/>
    </xf>
    <xf numFmtId="1" fontId="6" fillId="4" borderId="0" xfId="0" applyNumberFormat="1" applyFont="1" applyFill="1" applyBorder="1" applyAlignment="1" applyProtection="1">
      <alignment horizontal="right" vertical="center" wrapText="1"/>
    </xf>
    <xf numFmtId="0" fontId="5" fillId="4" borderId="6" xfId="0" applyFont="1" applyFill="1" applyBorder="1" applyAlignment="1" applyProtection="1">
      <alignment horizontal="right" vertical="center" wrapText="1"/>
    </xf>
    <xf numFmtId="43" fontId="9" fillId="2" borderId="1" xfId="0" applyNumberFormat="1" applyFont="1" applyFill="1" applyBorder="1" applyAlignment="1" applyProtection="1">
      <alignment horizontal="right" vertical="center" wrapText="1"/>
    </xf>
    <xf numFmtId="43" fontId="5" fillId="6" borderId="2" xfId="0" applyNumberFormat="1" applyFont="1" applyFill="1" applyBorder="1" applyAlignment="1" applyProtection="1">
      <alignment horizontal="right" vertical="center"/>
    </xf>
    <xf numFmtId="4" fontId="9" fillId="2" borderId="1" xfId="0" applyNumberFormat="1" applyFont="1" applyFill="1" applyBorder="1" applyAlignment="1" applyProtection="1">
      <alignment horizontal="right" vertical="center" wrapText="1"/>
    </xf>
    <xf numFmtId="0" fontId="24" fillId="13" borderId="0" xfId="0" applyFont="1" applyFill="1"/>
    <xf numFmtId="0" fontId="24" fillId="13" borderId="0" xfId="0" applyFont="1" applyFill="1" applyAlignment="1">
      <alignment horizontal="center" vertical="center"/>
    </xf>
    <xf numFmtId="0" fontId="9" fillId="13" borderId="0" xfId="0" applyFont="1" applyFill="1" applyAlignment="1">
      <alignment vertical="center"/>
    </xf>
    <xf numFmtId="0" fontId="5" fillId="13" borderId="0" xfId="0" applyFont="1" applyFill="1" applyAlignment="1">
      <alignment vertical="center"/>
    </xf>
    <xf numFmtId="0" fontId="54" fillId="0" borderId="32" xfId="0" applyFont="1" applyBorder="1" applyAlignment="1">
      <alignment vertical="center" wrapText="1"/>
    </xf>
    <xf numFmtId="0" fontId="54" fillId="0" borderId="73" xfId="0" applyFont="1" applyBorder="1" applyAlignment="1">
      <alignment vertical="center" wrapText="1"/>
    </xf>
    <xf numFmtId="0" fontId="54" fillId="0" borderId="74" xfId="0" applyFont="1" applyBorder="1" applyAlignment="1">
      <alignment vertical="center" wrapText="1"/>
    </xf>
    <xf numFmtId="0" fontId="14" fillId="9" borderId="30" xfId="0" applyFont="1" applyFill="1" applyBorder="1" applyAlignment="1">
      <alignment vertical="center" wrapText="1"/>
    </xf>
    <xf numFmtId="0" fontId="14" fillId="9" borderId="20" xfId="0" applyFont="1" applyFill="1" applyBorder="1" applyAlignment="1">
      <alignment horizontal="center" vertical="center" wrapText="1"/>
    </xf>
    <xf numFmtId="0" fontId="14" fillId="9" borderId="46" xfId="0" applyFont="1" applyFill="1" applyBorder="1" applyAlignment="1">
      <alignment horizontal="center" vertical="center" wrapText="1"/>
    </xf>
    <xf numFmtId="0" fontId="54" fillId="0" borderId="75" xfId="0" applyFont="1" applyBorder="1" applyAlignment="1">
      <alignment vertical="center" wrapText="1"/>
    </xf>
    <xf numFmtId="0" fontId="54" fillId="0" borderId="14" xfId="0" applyFont="1" applyBorder="1" applyAlignment="1">
      <alignment vertical="center" wrapText="1"/>
    </xf>
    <xf numFmtId="0" fontId="5" fillId="2" borderId="38" xfId="0" applyFont="1" applyFill="1" applyBorder="1" applyAlignment="1" applyProtection="1">
      <alignment horizontal="right" vertical="center"/>
    </xf>
    <xf numFmtId="0" fontId="9" fillId="12" borderId="0" xfId="0" applyFont="1" applyFill="1" applyBorder="1" applyAlignment="1">
      <alignment wrapText="1"/>
    </xf>
    <xf numFmtId="2" fontId="14" fillId="9" borderId="0" xfId="0" applyNumberFormat="1" applyFont="1" applyFill="1" applyBorder="1" applyAlignment="1">
      <alignment vertical="center" wrapText="1"/>
    </xf>
    <xf numFmtId="0" fontId="14" fillId="9" borderId="44" xfId="0" applyFont="1" applyFill="1" applyBorder="1" applyAlignment="1">
      <alignment horizontal="center" vertical="center" wrapText="1"/>
    </xf>
    <xf numFmtId="0" fontId="9" fillId="3" borderId="0" xfId="0" applyFont="1" applyFill="1" applyAlignment="1">
      <alignment horizontal="center" vertical="center"/>
    </xf>
    <xf numFmtId="1" fontId="6" fillId="3" borderId="2" xfId="0" applyNumberFormat="1" applyFont="1" applyFill="1" applyBorder="1" applyAlignment="1">
      <alignment horizontal="right" vertical="center" wrapText="1"/>
    </xf>
    <xf numFmtId="0" fontId="9" fillId="4" borderId="7" xfId="0" applyFont="1" applyFill="1" applyBorder="1" applyAlignment="1">
      <alignment horizontal="right" vertical="center" wrapText="1"/>
    </xf>
    <xf numFmtId="0" fontId="5" fillId="2" borderId="1" xfId="0" applyFont="1" applyFill="1" applyBorder="1" applyAlignment="1">
      <alignment horizontal="right" vertical="center"/>
    </xf>
    <xf numFmtId="3" fontId="9" fillId="4" borderId="0" xfId="0" applyNumberFormat="1" applyFont="1" applyFill="1" applyAlignment="1">
      <alignment horizontal="right" vertical="center"/>
    </xf>
    <xf numFmtId="2" fontId="5" fillId="3" borderId="2" xfId="0" applyNumberFormat="1" applyFont="1" applyFill="1" applyBorder="1" applyAlignment="1">
      <alignment horizontal="right" vertical="center"/>
    </xf>
    <xf numFmtId="0" fontId="5" fillId="12" borderId="0" xfId="0" applyFont="1" applyFill="1" applyBorder="1" applyAlignment="1">
      <alignment horizontal="left" vertical="center"/>
    </xf>
    <xf numFmtId="3" fontId="9" fillId="4" borderId="0" xfId="0" applyNumberFormat="1" applyFont="1" applyFill="1" applyAlignment="1">
      <alignment horizontal="right" vertical="center" wrapText="1"/>
    </xf>
    <xf numFmtId="2" fontId="9" fillId="4" borderId="0" xfId="0" applyNumberFormat="1" applyFont="1" applyFill="1" applyAlignment="1">
      <alignment horizontal="right" vertical="center" wrapText="1"/>
    </xf>
    <xf numFmtId="3" fontId="9" fillId="4" borderId="0" xfId="0" quotePrefix="1" applyNumberFormat="1" applyFont="1" applyFill="1" applyAlignment="1">
      <alignment horizontal="right" vertical="center" wrapText="1"/>
    </xf>
    <xf numFmtId="2" fontId="9" fillId="2" borderId="1" xfId="0" applyNumberFormat="1" applyFont="1" applyFill="1" applyBorder="1" applyAlignment="1">
      <alignment horizontal="right" vertical="center" wrapText="1"/>
    </xf>
    <xf numFmtId="0" fontId="9" fillId="9" borderId="30" xfId="0" applyFont="1" applyFill="1" applyBorder="1" applyAlignment="1">
      <alignment vertical="center" wrapText="1"/>
    </xf>
    <xf numFmtId="2" fontId="9" fillId="9" borderId="30" xfId="0" applyNumberFormat="1" applyFont="1" applyFill="1" applyBorder="1" applyAlignment="1">
      <alignment horizontal="right" vertical="center" wrapText="1"/>
    </xf>
    <xf numFmtId="0" fontId="9" fillId="9" borderId="30" xfId="0" applyFont="1" applyFill="1" applyBorder="1" applyAlignment="1">
      <alignment horizontal="left" vertical="center" wrapText="1"/>
    </xf>
    <xf numFmtId="0" fontId="9" fillId="9" borderId="60" xfId="0" applyFont="1" applyFill="1" applyBorder="1" applyAlignment="1">
      <alignment horizontal="center" vertical="center" wrapText="1"/>
    </xf>
    <xf numFmtId="0" fontId="9" fillId="9" borderId="67" xfId="0" applyFont="1" applyFill="1" applyBorder="1" applyAlignment="1">
      <alignment horizontal="center" vertical="center" wrapText="1"/>
    </xf>
    <xf numFmtId="2" fontId="9" fillId="9" borderId="0" xfId="0" applyNumberFormat="1" applyFont="1" applyFill="1" applyBorder="1" applyAlignment="1">
      <alignment vertical="center" wrapText="1"/>
    </xf>
    <xf numFmtId="0" fontId="14" fillId="9" borderId="0" xfId="0" applyFont="1" applyFill="1" applyBorder="1" applyAlignment="1">
      <alignment horizontal="right" vertical="center" wrapText="1"/>
    </xf>
    <xf numFmtId="0" fontId="9" fillId="9" borderId="35" xfId="0" applyFont="1" applyFill="1" applyBorder="1" applyAlignment="1">
      <alignment vertical="center" wrapText="1"/>
    </xf>
    <xf numFmtId="0" fontId="9" fillId="9" borderId="35" xfId="0" applyFont="1" applyFill="1" applyBorder="1" applyAlignment="1">
      <alignment horizontal="left" vertical="center" wrapText="1"/>
    </xf>
    <xf numFmtId="0" fontId="9" fillId="9" borderId="62" xfId="0" applyFont="1" applyFill="1" applyBorder="1" applyAlignment="1">
      <alignment horizontal="center" vertical="center" wrapText="1"/>
    </xf>
    <xf numFmtId="0" fontId="24" fillId="12" borderId="0" xfId="0" applyFont="1" applyFill="1"/>
    <xf numFmtId="0" fontId="24" fillId="12" borderId="0" xfId="0" applyFont="1" applyFill="1" applyAlignment="1">
      <alignment horizontal="center" vertical="center"/>
    </xf>
    <xf numFmtId="2" fontId="14" fillId="9" borderId="0" xfId="4" applyNumberFormat="1" applyFont="1" applyFill="1" applyBorder="1" applyAlignment="1">
      <alignment horizontal="right" vertical="center" wrapText="1"/>
    </xf>
    <xf numFmtId="0" fontId="14" fillId="9" borderId="14" xfId="0" applyFont="1" applyFill="1" applyBorder="1" applyAlignment="1">
      <alignment horizontal="center" vertical="center" wrapText="1"/>
    </xf>
    <xf numFmtId="181" fontId="9" fillId="2" borderId="1" xfId="0" applyNumberFormat="1" applyFont="1" applyFill="1" applyBorder="1" applyAlignment="1" applyProtection="1">
      <alignment horizontal="right" vertical="center" wrapText="1"/>
    </xf>
    <xf numFmtId="2" fontId="5" fillId="4" borderId="0" xfId="4" applyNumberFormat="1" applyFont="1" applyFill="1" applyBorder="1" applyAlignment="1" applyProtection="1">
      <alignment horizontal="right" vertical="center"/>
    </xf>
    <xf numFmtId="0" fontId="5" fillId="4" borderId="0" xfId="4" applyNumberFormat="1" applyFont="1" applyFill="1" applyBorder="1" applyAlignment="1" applyProtection="1">
      <alignment horizontal="right" vertical="center"/>
    </xf>
    <xf numFmtId="1" fontId="5" fillId="2" borderId="1" xfId="4" applyNumberFormat="1" applyFont="1" applyFill="1" applyBorder="1" applyAlignment="1" applyProtection="1">
      <alignment horizontal="right" vertical="center"/>
    </xf>
    <xf numFmtId="2" fontId="9" fillId="9" borderId="35" xfId="0" applyNumberFormat="1" applyFont="1" applyFill="1" applyBorder="1" applyAlignment="1">
      <alignment horizontal="right" vertical="center" wrapText="1"/>
    </xf>
    <xf numFmtId="0" fontId="54" fillId="0" borderId="34" xfId="0" applyFont="1" applyBorder="1" applyAlignment="1">
      <alignment vertical="center" wrapText="1"/>
    </xf>
    <xf numFmtId="0" fontId="24" fillId="9" borderId="0" xfId="0" applyFont="1" applyFill="1"/>
    <xf numFmtId="0" fontId="24" fillId="9" borderId="0" xfId="0" applyFont="1" applyFill="1" applyAlignment="1">
      <alignment horizontal="center" vertical="center"/>
    </xf>
    <xf numFmtId="0" fontId="54" fillId="0" borderId="25" xfId="0" applyFont="1" applyBorder="1" applyAlignment="1">
      <alignment wrapText="1"/>
    </xf>
    <xf numFmtId="0" fontId="54" fillId="0" borderId="28" xfId="0" applyFont="1" applyFill="1" applyBorder="1" applyAlignment="1">
      <alignment vertical="center" wrapText="1"/>
    </xf>
    <xf numFmtId="0" fontId="54" fillId="0" borderId="76" xfId="0" applyFont="1" applyBorder="1" applyAlignment="1">
      <alignment vertical="center" wrapText="1"/>
    </xf>
    <xf numFmtId="9" fontId="9" fillId="4" borderId="4" xfId="0" applyNumberFormat="1" applyFont="1" applyFill="1" applyBorder="1" applyAlignment="1" applyProtection="1">
      <alignment horizontal="center" vertical="center" wrapText="1"/>
    </xf>
    <xf numFmtId="2" fontId="5" fillId="4" borderId="0" xfId="0" applyNumberFormat="1" applyFont="1" applyFill="1" applyAlignment="1">
      <alignment horizontal="center" vertical="center" wrapText="1"/>
    </xf>
    <xf numFmtId="2" fontId="9" fillId="2" borderId="1" xfId="0" applyNumberFormat="1" applyFont="1" applyFill="1" applyBorder="1" applyAlignment="1" applyProtection="1">
      <alignment horizontal="center" vertical="center"/>
    </xf>
    <xf numFmtId="0" fontId="9" fillId="5" borderId="6" xfId="0" applyFont="1" applyFill="1" applyBorder="1" applyAlignment="1">
      <alignment vertical="center"/>
    </xf>
    <xf numFmtId="0" fontId="6" fillId="3" borderId="0" xfId="0" applyFont="1" applyFill="1" applyAlignment="1">
      <alignment vertical="center" wrapText="1"/>
    </xf>
    <xf numFmtId="3" fontId="5" fillId="6" borderId="2" xfId="0" applyNumberFormat="1" applyFont="1" applyFill="1" applyBorder="1" applyAlignment="1" applyProtection="1">
      <alignment horizontal="right" vertical="center"/>
    </xf>
    <xf numFmtId="3" fontId="5" fillId="9" borderId="0" xfId="0" applyNumberFormat="1" applyFont="1" applyFill="1" applyBorder="1" applyAlignment="1">
      <alignment horizontal="right" vertical="center"/>
    </xf>
    <xf numFmtId="3" fontId="5" fillId="9" borderId="30" xfId="0" applyNumberFormat="1" applyFont="1" applyFill="1" applyBorder="1" applyAlignment="1">
      <alignment horizontal="right" vertical="center"/>
    </xf>
    <xf numFmtId="1" fontId="14" fillId="4" borderId="0" xfId="0" applyNumberFormat="1" applyFont="1" applyFill="1" applyAlignment="1">
      <alignment horizontal="right" vertical="center" wrapText="1"/>
    </xf>
    <xf numFmtId="0" fontId="9" fillId="0" borderId="0" xfId="0" applyFont="1" applyFill="1" applyAlignment="1">
      <alignment horizontal="left" vertical="center"/>
    </xf>
    <xf numFmtId="2" fontId="14" fillId="4" borderId="0" xfId="0" applyNumberFormat="1" applyFont="1" applyFill="1" applyAlignment="1">
      <alignment horizontal="right" vertical="center" wrapText="1"/>
    </xf>
    <xf numFmtId="0" fontId="5" fillId="13" borderId="0" xfId="0" applyFont="1" applyFill="1" applyBorder="1" applyAlignment="1">
      <alignment vertical="center"/>
    </xf>
    <xf numFmtId="0" fontId="5" fillId="13" borderId="0" xfId="0" applyFont="1" applyFill="1" applyAlignment="1">
      <alignment horizontal="left" vertical="center" wrapText="1"/>
    </xf>
    <xf numFmtId="0" fontId="9" fillId="13" borderId="0" xfId="0" applyFont="1" applyFill="1" applyAlignment="1">
      <alignment vertical="center" wrapText="1"/>
    </xf>
    <xf numFmtId="0" fontId="9" fillId="13" borderId="0" xfId="0" applyFont="1" applyFill="1" applyBorder="1" applyAlignment="1">
      <alignment vertical="center"/>
    </xf>
    <xf numFmtId="0" fontId="9" fillId="13" borderId="0" xfId="0" applyFont="1" applyFill="1" applyBorder="1" applyAlignment="1">
      <alignment vertical="center" wrapText="1"/>
    </xf>
    <xf numFmtId="0" fontId="9" fillId="13" borderId="25" xfId="0" applyFont="1" applyFill="1" applyBorder="1" applyAlignment="1">
      <alignment wrapText="1"/>
    </xf>
    <xf numFmtId="0" fontId="9" fillId="13" borderId="25" xfId="0" applyFont="1" applyFill="1" applyBorder="1" applyAlignment="1">
      <alignment vertical="center" wrapText="1"/>
    </xf>
    <xf numFmtId="0" fontId="43" fillId="0" borderId="0" xfId="0" applyFont="1" applyFill="1" applyAlignment="1">
      <alignment horizontal="center"/>
    </xf>
    <xf numFmtId="0" fontId="43" fillId="0" borderId="0" xfId="0" applyNumberFormat="1" applyFont="1" applyFill="1" applyAlignment="1">
      <alignment horizontal="center"/>
    </xf>
    <xf numFmtId="2" fontId="14" fillId="9" borderId="0" xfId="0" applyNumberFormat="1" applyFont="1" applyFill="1" applyBorder="1" applyAlignment="1">
      <alignment horizontal="right" vertical="center" wrapText="1"/>
    </xf>
    <xf numFmtId="0" fontId="9" fillId="9" borderId="77" xfId="0" applyFont="1" applyFill="1" applyBorder="1" applyAlignment="1">
      <alignment horizontal="center" vertical="center" wrapText="1"/>
    </xf>
    <xf numFmtId="0" fontId="54" fillId="0" borderId="35" xfId="0" applyFont="1" applyBorder="1" applyAlignment="1">
      <alignment vertical="center" wrapText="1"/>
    </xf>
    <xf numFmtId="0" fontId="0" fillId="0" borderId="74" xfId="0" applyFont="1" applyBorder="1"/>
    <xf numFmtId="0" fontId="0" fillId="0" borderId="78" xfId="0" applyFont="1" applyBorder="1"/>
    <xf numFmtId="0" fontId="5" fillId="9" borderId="35" xfId="0" applyFont="1" applyFill="1" applyBorder="1" applyAlignment="1"/>
    <xf numFmtId="0" fontId="5" fillId="9" borderId="35" xfId="0" applyFont="1" applyFill="1" applyBorder="1" applyAlignment="1">
      <alignment horizontal="right"/>
    </xf>
    <xf numFmtId="0" fontId="5" fillId="9" borderId="62" xfId="0" applyFont="1" applyFill="1" applyBorder="1" applyAlignment="1">
      <alignment horizontal="center"/>
    </xf>
    <xf numFmtId="0" fontId="5" fillId="4" borderId="15"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19" fillId="4" borderId="0" xfId="0" applyFont="1" applyFill="1" applyAlignment="1">
      <alignment horizontal="center" vertical="center" wrapText="1"/>
    </xf>
    <xf numFmtId="0" fontId="19" fillId="4" borderId="0" xfId="0" applyFont="1" applyFill="1" applyAlignment="1">
      <alignment horizontal="left" vertical="center"/>
    </xf>
    <xf numFmtId="0" fontId="3" fillId="4" borderId="0" xfId="0" applyFont="1" applyFill="1" applyAlignment="1">
      <alignment horizontal="center" vertical="center"/>
    </xf>
    <xf numFmtId="0" fontId="9" fillId="3" borderId="2" xfId="0" applyFont="1" applyFill="1" applyBorder="1" applyAlignment="1">
      <alignment horizontal="center" vertical="center" wrapText="1"/>
    </xf>
    <xf numFmtId="4" fontId="9" fillId="2" borderId="1" xfId="0" applyNumberFormat="1" applyFont="1" applyFill="1" applyBorder="1" applyAlignment="1" applyProtection="1">
      <alignment horizontal="center" vertical="center"/>
    </xf>
    <xf numFmtId="1" fontId="9" fillId="3" borderId="2" xfId="0" applyNumberFormat="1" applyFont="1" applyFill="1" applyBorder="1" applyAlignment="1" applyProtection="1">
      <alignment horizontal="right" vertical="center" wrapText="1"/>
    </xf>
    <xf numFmtId="0" fontId="9" fillId="4" borderId="6" xfId="0" applyFont="1" applyFill="1" applyBorder="1" applyAlignment="1">
      <alignment vertical="center" wrapText="1"/>
    </xf>
    <xf numFmtId="1" fontId="5" fillId="6" borderId="2" xfId="4" applyNumberFormat="1" applyFont="1" applyFill="1" applyBorder="1" applyAlignment="1" applyProtection="1">
      <alignment horizontal="right" vertical="center"/>
    </xf>
    <xf numFmtId="0" fontId="54" fillId="0" borderId="30" xfId="0" applyFont="1" applyBorder="1" applyAlignment="1">
      <alignment vertical="center" wrapText="1"/>
    </xf>
    <xf numFmtId="0" fontId="5" fillId="9" borderId="65" xfId="0" applyFont="1" applyFill="1" applyBorder="1" applyAlignment="1">
      <alignment horizontal="center" vertical="center"/>
    </xf>
    <xf numFmtId="9" fontId="5" fillId="9" borderId="63"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0" fontId="86" fillId="0" borderId="0" xfId="0" applyFont="1" applyAlignment="1">
      <alignment vertical="center"/>
    </xf>
    <xf numFmtId="49" fontId="3" fillId="4" borderId="0" xfId="0" applyNumberFormat="1" applyFont="1" applyFill="1" applyAlignment="1">
      <alignment horizontal="center" vertical="center" wrapText="1"/>
    </xf>
    <xf numFmtId="0" fontId="9" fillId="4" borderId="0" xfId="0" applyFont="1" applyFill="1" applyBorder="1" applyAlignment="1" applyProtection="1">
      <alignment horizontal="center" vertical="center" wrapText="1"/>
    </xf>
    <xf numFmtId="0" fontId="9" fillId="9" borderId="25" xfId="0" applyFont="1" applyFill="1" applyBorder="1" applyAlignment="1">
      <alignment wrapText="1"/>
    </xf>
    <xf numFmtId="0" fontId="9" fillId="12" borderId="25" xfId="0" applyFont="1" applyFill="1" applyBorder="1" applyAlignment="1">
      <alignment vertical="center" wrapText="1"/>
    </xf>
    <xf numFmtId="2" fontId="0" fillId="0" borderId="0" xfId="0" applyNumberFormat="1" applyBorder="1" applyAlignment="1">
      <alignment horizontal="right"/>
    </xf>
    <xf numFmtId="0" fontId="5" fillId="13" borderId="25" xfId="0" applyFont="1" applyFill="1" applyBorder="1" applyAlignment="1">
      <alignment vertical="center" wrapText="1"/>
    </xf>
    <xf numFmtId="0" fontId="9" fillId="12" borderId="0" xfId="0" applyFont="1" applyFill="1" applyBorder="1" applyAlignment="1">
      <alignment horizontal="left" vertical="center"/>
    </xf>
    <xf numFmtId="1" fontId="9" fillId="12" borderId="0" xfId="0" applyNumberFormat="1" applyFont="1" applyFill="1" applyBorder="1" applyAlignment="1">
      <alignment vertical="center"/>
    </xf>
    <xf numFmtId="0" fontId="5" fillId="12" borderId="0" xfId="0" applyFont="1" applyFill="1" applyAlignment="1">
      <alignment vertical="center" wrapText="1"/>
    </xf>
    <xf numFmtId="0" fontId="9" fillId="12" borderId="15" xfId="0" applyFont="1" applyFill="1" applyBorder="1" applyAlignment="1">
      <alignment vertical="top" wrapText="1"/>
    </xf>
    <xf numFmtId="0" fontId="0" fillId="13" borderId="0" xfId="0" applyFill="1" applyAlignment="1">
      <alignment vertical="center"/>
    </xf>
    <xf numFmtId="0" fontId="0" fillId="12" borderId="0" xfId="0" applyFill="1" applyAlignment="1">
      <alignment vertical="center"/>
    </xf>
    <xf numFmtId="0" fontId="9" fillId="9" borderId="0" xfId="0" applyFont="1" applyFill="1"/>
    <xf numFmtId="0" fontId="76" fillId="0" borderId="18" xfId="0" applyFont="1" applyBorder="1" applyAlignment="1">
      <alignment horizontal="right" vertical="center"/>
    </xf>
    <xf numFmtId="0" fontId="76" fillId="0" borderId="0" xfId="0" applyFont="1" applyBorder="1" applyAlignment="1">
      <alignment horizontal="right" vertical="center"/>
    </xf>
    <xf numFmtId="0" fontId="2" fillId="0" borderId="0" xfId="0" applyFont="1" applyBorder="1" applyAlignment="1">
      <alignment horizontal="right" vertical="center"/>
    </xf>
    <xf numFmtId="0" fontId="76" fillId="0" borderId="0" xfId="0" applyFont="1" applyFill="1" applyBorder="1" applyAlignment="1">
      <alignment horizontal="right" vertical="center"/>
    </xf>
    <xf numFmtId="0" fontId="76" fillId="0" borderId="55" xfId="0" applyFont="1" applyFill="1" applyBorder="1" applyAlignment="1">
      <alignment horizontal="right" vertical="center"/>
    </xf>
    <xf numFmtId="0" fontId="52" fillId="0" borderId="18" xfId="0" applyFont="1" applyFill="1" applyBorder="1" applyAlignment="1">
      <alignment horizontal="center" vertical="center" wrapText="1"/>
    </xf>
    <xf numFmtId="0" fontId="76" fillId="0" borderId="18" xfId="0" applyFont="1" applyBorder="1" applyAlignment="1">
      <alignment horizontal="right"/>
    </xf>
    <xf numFmtId="0" fontId="76" fillId="0" borderId="27" xfId="0" applyFont="1" applyBorder="1" applyAlignment="1">
      <alignment horizontal="right"/>
    </xf>
    <xf numFmtId="0" fontId="14" fillId="9" borderId="37" xfId="0" applyFont="1" applyFill="1" applyBorder="1" applyAlignment="1">
      <alignment vertical="center" wrapText="1"/>
    </xf>
    <xf numFmtId="0" fontId="5" fillId="9" borderId="30" xfId="0" applyFont="1" applyFill="1" applyBorder="1" applyAlignment="1">
      <alignment vertical="center"/>
    </xf>
    <xf numFmtId="0" fontId="5" fillId="9" borderId="35" xfId="0" applyFont="1" applyFill="1" applyBorder="1" applyAlignment="1">
      <alignment vertical="center"/>
    </xf>
    <xf numFmtId="0" fontId="52" fillId="0" borderId="79" xfId="0" applyFont="1" applyFill="1" applyBorder="1" applyAlignment="1">
      <alignment horizontal="center" vertical="center" wrapText="1"/>
    </xf>
    <xf numFmtId="0" fontId="5" fillId="9" borderId="35" xfId="0" applyFont="1" applyFill="1" applyBorder="1"/>
    <xf numFmtId="0" fontId="5" fillId="9" borderId="35" xfId="0" applyFont="1" applyFill="1" applyBorder="1" applyAlignment="1">
      <alignment horizontal="center"/>
    </xf>
    <xf numFmtId="0" fontId="5" fillId="9" borderId="45" xfId="0" applyFont="1" applyFill="1" applyBorder="1" applyAlignment="1">
      <alignment horizontal="center"/>
    </xf>
    <xf numFmtId="0" fontId="54" fillId="0" borderId="35" xfId="0" applyFont="1" applyBorder="1"/>
    <xf numFmtId="49" fontId="54" fillId="0" borderId="35" xfId="0" applyNumberFormat="1" applyFont="1" applyBorder="1" applyAlignment="1">
      <alignment wrapText="1"/>
    </xf>
    <xf numFmtId="0" fontId="14" fillId="9" borderId="35" xfId="0" applyFont="1" applyFill="1" applyBorder="1" applyAlignment="1">
      <alignment horizontal="left" vertical="center" wrapText="1"/>
    </xf>
    <xf numFmtId="0" fontId="5" fillId="9" borderId="82" xfId="0" applyFont="1" applyFill="1" applyBorder="1" applyAlignment="1">
      <alignment wrapText="1"/>
    </xf>
    <xf numFmtId="2" fontId="5" fillId="9" borderId="82" xfId="0" applyNumberFormat="1" applyFont="1" applyFill="1" applyBorder="1" applyAlignment="1">
      <alignment horizontal="right"/>
    </xf>
    <xf numFmtId="0" fontId="5" fillId="9" borderId="82" xfId="0" applyFont="1" applyFill="1" applyBorder="1" applyAlignment="1">
      <alignment horizontal="left"/>
    </xf>
    <xf numFmtId="0" fontId="5" fillId="9" borderId="82" xfId="0" applyFont="1" applyFill="1" applyBorder="1" applyAlignment="1">
      <alignment horizontal="center"/>
    </xf>
    <xf numFmtId="0" fontId="5" fillId="9" borderId="83" xfId="0" applyFont="1" applyFill="1" applyBorder="1" applyAlignment="1">
      <alignment horizontal="center"/>
    </xf>
    <xf numFmtId="0" fontId="54" fillId="0" borderId="82" xfId="0" applyFont="1" applyBorder="1"/>
    <xf numFmtId="49" fontId="54" fillId="0" borderId="84" xfId="0" applyNumberFormat="1" applyFont="1" applyBorder="1" applyAlignment="1">
      <alignment wrapText="1"/>
    </xf>
    <xf numFmtId="49" fontId="54" fillId="0" borderId="59" xfId="0" applyNumberFormat="1" applyFont="1" applyBorder="1" applyAlignment="1">
      <alignment wrapText="1"/>
    </xf>
    <xf numFmtId="0" fontId="54" fillId="0" borderId="34" xfId="0" applyFont="1" applyFill="1" applyBorder="1"/>
    <xf numFmtId="0" fontId="14" fillId="9" borderId="54" xfId="0" applyFont="1" applyFill="1" applyBorder="1" applyAlignment="1">
      <alignment vertical="center" wrapText="1"/>
    </xf>
    <xf numFmtId="2" fontId="14" fillId="9" borderId="37" xfId="0" applyNumberFormat="1" applyFont="1" applyFill="1" applyBorder="1" applyAlignment="1">
      <alignment horizontal="right" vertical="center" wrapText="1"/>
    </xf>
    <xf numFmtId="0" fontId="14" fillId="9" borderId="37" xfId="0" applyFont="1" applyFill="1" applyBorder="1" applyAlignment="1">
      <alignment horizontal="left" vertical="center" wrapText="1"/>
    </xf>
    <xf numFmtId="0" fontId="14" fillId="9" borderId="37" xfId="0" applyFont="1" applyFill="1" applyBorder="1" applyAlignment="1">
      <alignment horizontal="center" vertical="center" wrapText="1"/>
    </xf>
    <xf numFmtId="0" fontId="14" fillId="9" borderId="85" xfId="0" applyFont="1" applyFill="1" applyBorder="1" applyAlignment="1">
      <alignment horizontal="center" vertical="center" wrapText="1"/>
    </xf>
    <xf numFmtId="0" fontId="54" fillId="0" borderId="86" xfId="0" applyFont="1" applyBorder="1" applyAlignment="1">
      <alignment vertical="center" wrapText="1"/>
    </xf>
    <xf numFmtId="0" fontId="0" fillId="0" borderId="87" xfId="0" applyFont="1" applyFill="1" applyBorder="1"/>
    <xf numFmtId="0" fontId="5" fillId="0" borderId="81" xfId="0" applyFont="1" applyBorder="1" applyAlignment="1">
      <alignment horizontal="left"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49" xfId="0" applyFont="1" applyFill="1" applyBorder="1" applyAlignment="1">
      <alignment horizontal="left" vertical="center"/>
    </xf>
    <xf numFmtId="0" fontId="5" fillId="0" borderId="50" xfId="0" applyFont="1" applyFill="1" applyBorder="1" applyAlignment="1">
      <alignment horizontal="left" vertical="center"/>
    </xf>
    <xf numFmtId="0" fontId="5" fillId="0" borderId="53" xfId="0" applyFont="1" applyFill="1" applyBorder="1" applyAlignment="1">
      <alignment horizontal="left" vertical="center"/>
    </xf>
    <xf numFmtId="0" fontId="5" fillId="0" borderId="48" xfId="0" applyFont="1" applyFill="1" applyBorder="1" applyAlignment="1">
      <alignment horizontal="left" vertical="center"/>
    </xf>
    <xf numFmtId="0" fontId="5" fillId="0" borderId="80" xfId="0" applyFont="1" applyFill="1" applyBorder="1" applyAlignment="1">
      <alignment horizontal="left" vertical="center"/>
    </xf>
    <xf numFmtId="49" fontId="5" fillId="9" borderId="0" xfId="0" applyNumberFormat="1" applyFont="1" applyFill="1" applyBorder="1" applyAlignment="1">
      <alignment horizontal="right" vertical="center"/>
    </xf>
    <xf numFmtId="0" fontId="5" fillId="9" borderId="82" xfId="0" applyFont="1" applyFill="1" applyBorder="1" applyAlignment="1">
      <alignment vertical="center"/>
    </xf>
    <xf numFmtId="0" fontId="5" fillId="9" borderId="34" xfId="0" applyFont="1" applyFill="1" applyBorder="1" applyAlignment="1">
      <alignment vertical="center"/>
    </xf>
    <xf numFmtId="0" fontId="5" fillId="13" borderId="0" xfId="0" applyFont="1" applyFill="1" applyAlignment="1">
      <alignment horizontal="left" vertical="center"/>
    </xf>
    <xf numFmtId="0" fontId="9" fillId="0" borderId="0" xfId="0" applyFont="1" applyAlignment="1">
      <alignment horizontal="left" vertical="center" wrapText="1"/>
    </xf>
    <xf numFmtId="0" fontId="5" fillId="0" borderId="18" xfId="0" applyFont="1" applyBorder="1" applyAlignment="1">
      <alignment horizontal="left" vertical="center" wrapText="1"/>
    </xf>
    <xf numFmtId="0" fontId="4" fillId="4" borderId="0" xfId="0" applyFont="1" applyFill="1" applyAlignment="1">
      <alignment horizontal="center" vertical="center"/>
    </xf>
    <xf numFmtId="0" fontId="6" fillId="4" borderId="0" xfId="0" applyFont="1" applyFill="1" applyAlignment="1">
      <alignment horizontal="right" vertical="center" wrapText="1"/>
    </xf>
    <xf numFmtId="0" fontId="5" fillId="2" borderId="1" xfId="4" applyNumberFormat="1" applyFont="1" applyFill="1" applyBorder="1" applyAlignment="1">
      <alignment horizontal="right" vertical="center"/>
    </xf>
    <xf numFmtId="2" fontId="5" fillId="6" borderId="2" xfId="4" applyNumberFormat="1" applyFont="1" applyFill="1" applyBorder="1" applyAlignment="1">
      <alignment horizontal="right" vertical="center"/>
    </xf>
    <xf numFmtId="0" fontId="9" fillId="9" borderId="88" xfId="0" applyFont="1" applyFill="1" applyBorder="1" applyAlignment="1">
      <alignment vertical="center" wrapText="1"/>
    </xf>
    <xf numFmtId="0" fontId="9" fillId="9" borderId="55" xfId="0" applyFont="1" applyFill="1" applyBorder="1" applyAlignment="1">
      <alignment vertical="center" wrapText="1"/>
    </xf>
    <xf numFmtId="2" fontId="9" fillId="9" borderId="55" xfId="0" applyNumberFormat="1" applyFont="1" applyFill="1" applyBorder="1" applyAlignment="1">
      <alignment horizontal="right" vertical="center" wrapText="1"/>
    </xf>
    <xf numFmtId="0" fontId="9" fillId="9" borderId="55" xfId="0" applyFont="1" applyFill="1" applyBorder="1" applyAlignment="1">
      <alignment horizontal="left" vertical="center" wrapText="1"/>
    </xf>
    <xf numFmtId="0" fontId="9" fillId="9" borderId="89"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0" fillId="0" borderId="0" xfId="0" applyBorder="1" applyAlignment="1"/>
    <xf numFmtId="0" fontId="3" fillId="5" borderId="91" xfId="0" applyFont="1" applyFill="1" applyBorder="1" applyAlignment="1">
      <alignment horizontal="center" vertical="center" wrapText="1"/>
    </xf>
    <xf numFmtId="0" fontId="6" fillId="5" borderId="92" xfId="0" applyFont="1" applyFill="1" applyBorder="1" applyAlignment="1">
      <alignment horizontal="center" vertical="center" wrapText="1"/>
    </xf>
    <xf numFmtId="0" fontId="6" fillId="3" borderId="0" xfId="0" applyFont="1" applyFill="1" applyBorder="1" applyAlignment="1">
      <alignment vertical="center" wrapText="1"/>
    </xf>
    <xf numFmtId="0" fontId="9" fillId="4" borderId="25" xfId="0" applyFont="1" applyFill="1" applyBorder="1" applyAlignment="1">
      <alignment vertical="center"/>
    </xf>
    <xf numFmtId="0" fontId="31" fillId="4" borderId="0" xfId="0" applyFont="1" applyFill="1" applyBorder="1"/>
    <xf numFmtId="0" fontId="6" fillId="4" borderId="0" xfId="0" applyFont="1" applyFill="1" applyAlignment="1">
      <alignment vertical="center" wrapText="1"/>
    </xf>
    <xf numFmtId="0" fontId="54" fillId="0" borderId="55" xfId="0" applyFont="1" applyFill="1" applyBorder="1" applyAlignment="1">
      <alignment vertical="center" wrapText="1"/>
    </xf>
    <xf numFmtId="1" fontId="6" fillId="4" borderId="0" xfId="0" applyNumberFormat="1" applyFont="1" applyFill="1" applyBorder="1" applyAlignment="1" applyProtection="1">
      <alignment horizontal="center" vertical="center" wrapText="1"/>
    </xf>
    <xf numFmtId="0" fontId="5" fillId="4" borderId="25" xfId="0" applyFont="1" applyFill="1" applyBorder="1" applyAlignment="1">
      <alignment vertical="center" wrapText="1"/>
    </xf>
    <xf numFmtId="1" fontId="9" fillId="2" borderId="1" xfId="0" applyNumberFormat="1" applyFont="1" applyFill="1" applyBorder="1" applyAlignment="1" applyProtection="1">
      <alignment horizontal="center" vertical="center"/>
    </xf>
    <xf numFmtId="1" fontId="9" fillId="4" borderId="0" xfId="0" applyNumberFormat="1" applyFont="1" applyFill="1" applyBorder="1" applyAlignment="1" applyProtection="1">
      <alignment horizontal="center" vertical="center" wrapText="1"/>
    </xf>
    <xf numFmtId="2" fontId="5" fillId="9" borderId="0" xfId="0" applyNumberFormat="1" applyFont="1" applyFill="1" applyBorder="1" applyAlignment="1">
      <alignment horizontal="left" vertical="center" wrapText="1"/>
    </xf>
    <xf numFmtId="0" fontId="9" fillId="9" borderId="54" xfId="0" applyFont="1" applyFill="1" applyBorder="1" applyAlignment="1">
      <alignment vertical="center" wrapText="1"/>
    </xf>
    <xf numFmtId="0" fontId="9" fillId="9" borderId="37" xfId="0" applyFont="1" applyFill="1" applyBorder="1" applyAlignment="1">
      <alignment vertical="center" wrapText="1"/>
    </xf>
    <xf numFmtId="2" fontId="9" fillId="9" borderId="37" xfId="0" applyNumberFormat="1" applyFont="1" applyFill="1" applyBorder="1" applyAlignment="1">
      <alignment horizontal="right" vertical="center" wrapText="1"/>
    </xf>
    <xf numFmtId="0" fontId="9" fillId="9" borderId="37" xfId="0" applyFont="1" applyFill="1" applyBorder="1" applyAlignment="1">
      <alignment horizontal="left" vertical="center" wrapText="1"/>
    </xf>
    <xf numFmtId="0" fontId="9" fillId="9" borderId="93" xfId="0" applyFont="1" applyFill="1" applyBorder="1" applyAlignment="1">
      <alignment horizontal="center" vertical="center" wrapText="1"/>
    </xf>
    <xf numFmtId="0" fontId="54" fillId="0" borderId="54" xfId="0" applyFont="1" applyBorder="1" applyAlignment="1">
      <alignment vertical="center" wrapText="1"/>
    </xf>
    <xf numFmtId="0" fontId="0" fillId="9" borderId="0" xfId="0" applyFill="1" applyBorder="1" applyAlignment="1">
      <alignment horizontal="center" vertical="center"/>
    </xf>
    <xf numFmtId="0" fontId="0" fillId="9" borderId="0" xfId="0" applyFill="1" applyAlignment="1">
      <alignment horizontal="center"/>
    </xf>
    <xf numFmtId="0" fontId="87" fillId="0" borderId="0" xfId="0" applyFont="1"/>
    <xf numFmtId="0" fontId="0" fillId="0" borderId="24" xfId="0" applyBorder="1"/>
    <xf numFmtId="0" fontId="0" fillId="0" borderId="55" xfId="0" applyBorder="1"/>
    <xf numFmtId="0" fontId="5" fillId="0" borderId="95" xfId="0" applyFont="1" applyFill="1" applyBorder="1" applyAlignment="1">
      <alignment horizontal="left" vertical="center"/>
    </xf>
    <xf numFmtId="0" fontId="5" fillId="0" borderId="96" xfId="0" applyFont="1" applyBorder="1"/>
    <xf numFmtId="0" fontId="0" fillId="0" borderId="88" xfId="0" applyBorder="1"/>
    <xf numFmtId="0" fontId="9" fillId="4" borderId="25" xfId="0" applyFont="1" applyFill="1" applyBorder="1" applyAlignment="1">
      <alignment vertical="center" wrapText="1"/>
    </xf>
    <xf numFmtId="2" fontId="5" fillId="2" borderId="2" xfId="4" applyNumberFormat="1" applyFont="1" applyFill="1" applyBorder="1" applyAlignment="1" applyProtection="1">
      <alignment horizontal="right" vertical="center"/>
    </xf>
    <xf numFmtId="0" fontId="45" fillId="0" borderId="32" xfId="0" applyFont="1" applyBorder="1" applyAlignment="1">
      <alignment horizontal="left"/>
    </xf>
    <xf numFmtId="2" fontId="0" fillId="0" borderId="98" xfId="0" applyNumberFormat="1" applyBorder="1" applyAlignment="1">
      <alignment horizontal="right"/>
    </xf>
    <xf numFmtId="0" fontId="45" fillId="0" borderId="99" xfId="0" applyFont="1" applyBorder="1" applyAlignment="1">
      <alignment horizontal="left"/>
    </xf>
    <xf numFmtId="0" fontId="61" fillId="0" borderId="18" xfId="0" applyFont="1" applyBorder="1" applyAlignment="1">
      <alignment wrapText="1"/>
    </xf>
    <xf numFmtId="2" fontId="43" fillId="0" borderId="55" xfId="0" applyNumberFormat="1" applyFont="1" applyFill="1" applyBorder="1" applyAlignment="1">
      <alignment horizontal="right"/>
    </xf>
    <xf numFmtId="0" fontId="43" fillId="0" borderId="88" xfId="0" applyFont="1" applyFill="1" applyBorder="1" applyAlignment="1">
      <alignment horizontal="left"/>
    </xf>
    <xf numFmtId="2" fontId="0" fillId="0" borderId="33" xfId="0" applyNumberFormat="1" applyBorder="1" applyAlignment="1">
      <alignment horizontal="right"/>
    </xf>
    <xf numFmtId="1" fontId="5" fillId="9" borderId="0" xfId="0" applyNumberFormat="1" applyFont="1" applyFill="1" applyBorder="1" applyAlignment="1">
      <alignment horizontal="right"/>
    </xf>
    <xf numFmtId="1" fontId="14" fillId="9" borderId="61" xfId="0" applyNumberFormat="1" applyFont="1" applyFill="1" applyBorder="1" applyAlignment="1">
      <alignment horizontal="center" vertical="center" wrapText="1"/>
    </xf>
    <xf numFmtId="0" fontId="45" fillId="0" borderId="30" xfId="0" applyFont="1" applyFill="1" applyBorder="1" applyAlignment="1">
      <alignment horizontal="left"/>
    </xf>
    <xf numFmtId="0" fontId="60" fillId="0" borderId="31" xfId="0" applyFont="1" applyFill="1" applyBorder="1" applyAlignment="1">
      <alignment horizontal="center"/>
    </xf>
    <xf numFmtId="0" fontId="43" fillId="0" borderId="32" xfId="0" applyFont="1" applyFill="1" applyBorder="1" applyAlignment="1">
      <alignment horizontal="left" wrapText="1"/>
    </xf>
    <xf numFmtId="2" fontId="43" fillId="0" borderId="33" xfId="0" applyNumberFormat="1" applyFont="1" applyFill="1" applyBorder="1" applyAlignment="1">
      <alignment horizontal="right"/>
    </xf>
    <xf numFmtId="0" fontId="60" fillId="0" borderId="33" xfId="0" applyFont="1" applyFill="1" applyBorder="1" applyAlignment="1">
      <alignment horizontal="center"/>
    </xf>
    <xf numFmtId="0" fontId="43" fillId="0" borderId="32" xfId="0" applyFont="1" applyFill="1" applyBorder="1" applyAlignment="1">
      <alignment horizontal="right" wrapText="1"/>
    </xf>
    <xf numFmtId="0" fontId="43" fillId="0" borderId="34" xfId="0" applyFont="1" applyFill="1" applyBorder="1" applyAlignment="1">
      <alignment wrapText="1"/>
    </xf>
    <xf numFmtId="2" fontId="43" fillId="0" borderId="36" xfId="0" applyNumberFormat="1" applyFont="1" applyFill="1" applyBorder="1" applyAlignment="1">
      <alignment horizontal="right"/>
    </xf>
    <xf numFmtId="0" fontId="43" fillId="0" borderId="35" xfId="0" applyFont="1" applyFill="1" applyBorder="1" applyAlignment="1">
      <alignment horizontal="left"/>
    </xf>
    <xf numFmtId="0" fontId="60" fillId="0" borderId="36" xfId="0" applyFont="1" applyFill="1" applyBorder="1" applyAlignment="1">
      <alignment horizontal="center"/>
    </xf>
    <xf numFmtId="0" fontId="61" fillId="0" borderId="29" xfId="0" applyFont="1" applyFill="1" applyBorder="1" applyAlignment="1">
      <alignment wrapText="1"/>
    </xf>
    <xf numFmtId="2" fontId="0" fillId="0" borderId="30" xfId="0" applyNumberFormat="1" applyFill="1" applyBorder="1" applyAlignment="1">
      <alignment horizontal="right"/>
    </xf>
    <xf numFmtId="0" fontId="45" fillId="0" borderId="29" xfId="0" applyFont="1" applyFill="1" applyBorder="1" applyAlignment="1">
      <alignment horizontal="left"/>
    </xf>
    <xf numFmtId="0" fontId="61" fillId="0" borderId="32" xfId="0" applyFont="1" applyFill="1" applyBorder="1" applyAlignment="1">
      <alignment wrapText="1"/>
    </xf>
    <xf numFmtId="2" fontId="0" fillId="0" borderId="0" xfId="0" applyNumberFormat="1" applyFill="1" applyBorder="1" applyAlignment="1">
      <alignment horizontal="right"/>
    </xf>
    <xf numFmtId="0" fontId="45" fillId="0" borderId="32" xfId="0" applyFont="1" applyFill="1" applyBorder="1" applyAlignment="1">
      <alignment horizontal="left"/>
    </xf>
    <xf numFmtId="0" fontId="43" fillId="0" borderId="34" xfId="0" applyFont="1" applyFill="1" applyBorder="1" applyAlignment="1">
      <alignment horizontal="right" wrapText="1"/>
    </xf>
    <xf numFmtId="2" fontId="43" fillId="0" borderId="35" xfId="0" applyNumberFormat="1" applyFont="1" applyFill="1" applyBorder="1" applyAlignment="1">
      <alignment horizontal="right"/>
    </xf>
    <xf numFmtId="0" fontId="43" fillId="0" borderId="34" xfId="0" applyFont="1" applyFill="1" applyBorder="1" applyAlignment="1">
      <alignment horizontal="left"/>
    </xf>
    <xf numFmtId="0" fontId="0" fillId="0" borderId="0" xfId="0" applyFill="1" applyAlignment="1">
      <alignment wrapText="1"/>
    </xf>
    <xf numFmtId="2" fontId="0" fillId="0" borderId="0" xfId="0" applyNumberFormat="1" applyFill="1" applyAlignment="1">
      <alignment horizontal="right"/>
    </xf>
    <xf numFmtId="0" fontId="45" fillId="0" borderId="36" xfId="0" applyFont="1" applyFill="1" applyBorder="1" applyAlignment="1">
      <alignment horizontal="center"/>
    </xf>
    <xf numFmtId="0" fontId="43" fillId="0" borderId="23" xfId="0" applyFont="1" applyFill="1" applyBorder="1" applyAlignment="1">
      <alignment wrapText="1"/>
    </xf>
    <xf numFmtId="0" fontId="43" fillId="0" borderId="18" xfId="0" applyFont="1" applyFill="1" applyBorder="1" applyAlignment="1">
      <alignment wrapText="1"/>
    </xf>
    <xf numFmtId="0" fontId="43" fillId="0" borderId="18" xfId="0" applyFont="1" applyBorder="1" applyAlignment="1">
      <alignment wrapText="1"/>
    </xf>
    <xf numFmtId="0" fontId="5" fillId="0" borderId="35" xfId="0" applyFont="1" applyBorder="1" applyAlignment="1">
      <alignment vertical="center"/>
    </xf>
    <xf numFmtId="0" fontId="5" fillId="0" borderId="37" xfId="0" applyFont="1" applyBorder="1" applyAlignment="1">
      <alignment vertical="center"/>
    </xf>
    <xf numFmtId="0" fontId="5" fillId="0" borderId="96" xfId="0" applyFont="1" applyBorder="1" applyAlignment="1">
      <alignment vertical="center"/>
    </xf>
    <xf numFmtId="0" fontId="5" fillId="0" borderId="37" xfId="0" applyFont="1" applyBorder="1" applyAlignment="1">
      <alignment vertical="center" wrapText="1"/>
    </xf>
    <xf numFmtId="0" fontId="5" fillId="0" borderId="35" xfId="0" applyFont="1" applyBorder="1" applyAlignment="1">
      <alignment horizontal="right" vertical="center"/>
    </xf>
    <xf numFmtId="0" fontId="5" fillId="0" borderId="36" xfId="0" applyFont="1" applyBorder="1" applyAlignment="1">
      <alignment horizontal="center" vertical="center"/>
    </xf>
    <xf numFmtId="0" fontId="5" fillId="0" borderId="37" xfId="0" applyFont="1" applyBorder="1" applyAlignment="1">
      <alignment horizontal="right" vertical="center"/>
    </xf>
    <xf numFmtId="0" fontId="5" fillId="0" borderId="94" xfId="0" applyFont="1" applyBorder="1" applyAlignment="1">
      <alignment horizontal="center" vertical="center"/>
    </xf>
    <xf numFmtId="0" fontId="5" fillId="0" borderId="0" xfId="0" applyFont="1" applyBorder="1" applyAlignment="1">
      <alignment horizontal="right" vertical="center"/>
    </xf>
    <xf numFmtId="0" fontId="5" fillId="0" borderId="33" xfId="0" applyFont="1" applyBorder="1" applyAlignment="1">
      <alignment horizontal="center" vertical="center"/>
    </xf>
    <xf numFmtId="2" fontId="5" fillId="0" borderId="37" xfId="0" applyNumberFormat="1" applyFont="1" applyBorder="1" applyAlignment="1">
      <alignment horizontal="right" vertical="center"/>
    </xf>
    <xf numFmtId="2" fontId="5" fillId="0" borderId="94" xfId="0" applyNumberFormat="1" applyFont="1" applyBorder="1" applyAlignment="1">
      <alignment horizontal="center" vertical="center"/>
    </xf>
    <xf numFmtId="2" fontId="5" fillId="0" borderId="96" xfId="0" applyNumberFormat="1" applyFont="1" applyBorder="1" applyAlignment="1">
      <alignment horizontal="right" vertical="center"/>
    </xf>
    <xf numFmtId="0" fontId="5" fillId="0" borderId="97" xfId="0" applyFont="1" applyBorder="1" applyAlignment="1">
      <alignment horizontal="center" vertical="center"/>
    </xf>
    <xf numFmtId="0" fontId="9" fillId="9" borderId="100" xfId="0" applyFont="1" applyFill="1" applyBorder="1" applyAlignment="1">
      <alignment horizontal="center" vertical="center" wrapText="1"/>
    </xf>
    <xf numFmtId="0" fontId="5" fillId="0" borderId="62" xfId="0" applyFont="1" applyBorder="1" applyAlignment="1">
      <alignment horizontal="center" vertical="center"/>
    </xf>
    <xf numFmtId="0" fontId="5" fillId="0" borderId="93" xfId="0" applyFont="1" applyBorder="1" applyAlignment="1">
      <alignment horizontal="center" vertical="center"/>
    </xf>
    <xf numFmtId="0" fontId="5" fillId="0" borderId="61" xfId="0" applyFont="1" applyBorder="1" applyAlignment="1">
      <alignment horizontal="center" vertical="center"/>
    </xf>
    <xf numFmtId="9" fontId="5" fillId="0" borderId="93" xfId="0" applyNumberFormat="1" applyFont="1" applyBorder="1" applyAlignment="1">
      <alignment horizontal="center" vertical="center"/>
    </xf>
    <xf numFmtId="0" fontId="5" fillId="0" borderId="100" xfId="0" applyFont="1" applyBorder="1" applyAlignment="1">
      <alignment horizontal="center" vertical="center"/>
    </xf>
    <xf numFmtId="0" fontId="0" fillId="0" borderId="87" xfId="0" applyFont="1" applyBorder="1"/>
    <xf numFmtId="0" fontId="0" fillId="0" borderId="84" xfId="0" applyBorder="1"/>
    <xf numFmtId="0" fontId="0" fillId="0" borderId="87" xfId="0" applyBorder="1"/>
    <xf numFmtId="0" fontId="0" fillId="0" borderId="57" xfId="0" applyBorder="1"/>
    <xf numFmtId="0" fontId="54" fillId="0" borderId="37" xfId="0" applyFont="1" applyBorder="1"/>
    <xf numFmtId="0" fontId="54" fillId="0" borderId="30" xfId="0" applyFont="1" applyBorder="1" applyAlignment="1">
      <alignment vertical="center"/>
    </xf>
    <xf numFmtId="0" fontId="45" fillId="0" borderId="34" xfId="0" applyFont="1" applyBorder="1"/>
    <xf numFmtId="0" fontId="54" fillId="0" borderId="0" xfId="0" applyFont="1" applyFill="1" applyBorder="1"/>
    <xf numFmtId="0" fontId="54" fillId="0" borderId="29" xfId="0" applyFont="1" applyBorder="1"/>
    <xf numFmtId="0" fontId="0" fillId="9" borderId="0" xfId="0" applyFill="1" applyBorder="1"/>
    <xf numFmtId="0" fontId="0" fillId="9" borderId="0" xfId="0" applyFill="1" applyAlignment="1">
      <alignment wrapText="1"/>
    </xf>
    <xf numFmtId="0" fontId="14" fillId="9" borderId="101" xfId="0" applyFont="1" applyFill="1" applyBorder="1" applyAlignment="1">
      <alignment vertical="center" wrapText="1"/>
    </xf>
    <xf numFmtId="0" fontId="14" fillId="9" borderId="96" xfId="0" applyFont="1" applyFill="1" applyBorder="1" applyAlignment="1">
      <alignment vertical="center" wrapText="1"/>
    </xf>
    <xf numFmtId="2" fontId="5" fillId="9" borderId="96" xfId="0" applyNumberFormat="1" applyFont="1" applyFill="1" applyBorder="1" applyAlignment="1">
      <alignment horizontal="right" vertical="center"/>
    </xf>
    <xf numFmtId="2" fontId="5" fillId="9" borderId="96" xfId="0" applyNumberFormat="1" applyFont="1" applyFill="1" applyBorder="1" applyAlignment="1">
      <alignment horizontal="left" vertical="center"/>
    </xf>
    <xf numFmtId="0" fontId="5" fillId="9" borderId="102" xfId="0" applyFont="1" applyFill="1" applyBorder="1" applyAlignment="1">
      <alignment horizontal="center" vertical="center"/>
    </xf>
    <xf numFmtId="0" fontId="5" fillId="9" borderId="103" xfId="0" applyFont="1" applyFill="1" applyBorder="1" applyAlignment="1">
      <alignment horizontal="center" vertical="center"/>
    </xf>
    <xf numFmtId="0" fontId="36" fillId="0" borderId="0" xfId="0" applyFont="1" applyFill="1" applyAlignment="1">
      <alignment horizontal="center"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7" xfId="0" applyFont="1" applyFill="1" applyBorder="1" applyAlignment="1">
      <alignment horizontal="center" vertical="center"/>
    </xf>
    <xf numFmtId="0" fontId="5" fillId="4" borderId="0" xfId="0" applyFont="1" applyFill="1" applyAlignment="1">
      <alignment horizontal="center" vertical="center"/>
    </xf>
    <xf numFmtId="0" fontId="36" fillId="0" borderId="0" xfId="0" applyFont="1" applyFill="1" applyAlignment="1">
      <alignment horizontal="center" vertical="center" wrapText="1"/>
    </xf>
    <xf numFmtId="0" fontId="61" fillId="0" borderId="29" xfId="0" applyFont="1" applyFill="1" applyBorder="1" applyAlignment="1">
      <alignment horizontal="left" vertical="top" wrapText="1"/>
    </xf>
    <xf numFmtId="0" fontId="61" fillId="0" borderId="31" xfId="0" applyFont="1" applyFill="1" applyBorder="1" applyAlignment="1">
      <alignment horizontal="left" vertical="top" wrapText="1"/>
    </xf>
    <xf numFmtId="0" fontId="53" fillId="0" borderId="24" xfId="0" applyFont="1" applyBorder="1" applyAlignment="1">
      <alignment horizontal="left" vertical="center" wrapText="1"/>
    </xf>
    <xf numFmtId="0" fontId="53" fillId="0" borderId="25" xfId="0" applyFont="1" applyBorder="1" applyAlignment="1">
      <alignment horizontal="left" vertical="center" wrapText="1"/>
    </xf>
    <xf numFmtId="0" fontId="53" fillId="0" borderId="59" xfId="0" applyFont="1" applyBorder="1" applyAlignment="1">
      <alignment horizontal="left" vertical="center" wrapText="1"/>
    </xf>
    <xf numFmtId="0" fontId="53" fillId="0" borderId="23" xfId="0" applyFont="1" applyBorder="1" applyAlignment="1">
      <alignment horizontal="center" vertical="center"/>
    </xf>
    <xf numFmtId="0" fontId="53" fillId="0" borderId="18" xfId="0" applyFont="1" applyBorder="1" applyAlignment="1">
      <alignment horizontal="center" vertical="center"/>
    </xf>
    <xf numFmtId="0" fontId="53" fillId="0" borderId="42" xfId="0" applyFont="1" applyBorder="1" applyAlignment="1">
      <alignment horizontal="center" vertical="center"/>
    </xf>
    <xf numFmtId="0" fontId="53" fillId="0" borderId="57"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51" fillId="0" borderId="43"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54" fillId="0" borderId="57" xfId="0" applyFont="1" applyFill="1" applyBorder="1" applyAlignment="1">
      <alignment horizontal="center" vertical="center" wrapText="1"/>
    </xf>
    <xf numFmtId="0" fontId="54" fillId="0" borderId="25" xfId="0" applyFont="1" applyFill="1" applyBorder="1" applyAlignment="1">
      <alignment horizontal="center" vertical="center" wrapText="1"/>
    </xf>
    <xf numFmtId="0" fontId="54" fillId="0" borderId="59" xfId="0" applyFont="1" applyFill="1" applyBorder="1" applyAlignment="1">
      <alignment horizontal="center" vertical="center" wrapText="1"/>
    </xf>
    <xf numFmtId="0" fontId="54" fillId="0" borderId="57" xfId="0" applyFont="1" applyBorder="1" applyAlignment="1">
      <alignment horizontal="center" vertical="center" wrapText="1"/>
    </xf>
    <xf numFmtId="0" fontId="54" fillId="0" borderId="25" xfId="0" applyFont="1" applyBorder="1" applyAlignment="1">
      <alignment horizontal="center" vertical="center" wrapText="1"/>
    </xf>
    <xf numFmtId="0" fontId="54" fillId="0" borderId="59" xfId="0" applyFont="1" applyBorder="1" applyAlignment="1">
      <alignment horizontal="center" vertical="center" wrapText="1"/>
    </xf>
    <xf numFmtId="0" fontId="37" fillId="0" borderId="90"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7" xfId="0" applyFont="1" applyFill="1" applyBorder="1" applyAlignment="1">
      <alignment horizontal="center" vertical="center"/>
    </xf>
    <xf numFmtId="0" fontId="5" fillId="4" borderId="0" xfId="0" applyFont="1" applyFill="1" applyAlignment="1">
      <alignment horizontal="center" vertical="center"/>
    </xf>
    <xf numFmtId="0" fontId="39" fillId="0" borderId="0" xfId="0" applyFont="1" applyFill="1" applyAlignment="1">
      <alignment horizontal="center" vertical="center" wrapText="1"/>
    </xf>
    <xf numFmtId="0" fontId="37" fillId="0" borderId="6" xfId="0" applyFont="1" applyBorder="1" applyAlignment="1">
      <alignment horizontal="left" vertical="center" wrapText="1"/>
    </xf>
    <xf numFmtId="0" fontId="37" fillId="0" borderId="6" xfId="0" applyFont="1" applyBorder="1" applyAlignment="1">
      <alignment horizontal="left" vertical="center"/>
    </xf>
    <xf numFmtId="0" fontId="0" fillId="0" borderId="6" xfId="0" applyBorder="1" applyAlignment="1"/>
    <xf numFmtId="0" fontId="0" fillId="0" borderId="6" xfId="0" applyBorder="1" applyAlignment="1">
      <alignment horizontal="left" vertical="center"/>
    </xf>
    <xf numFmtId="0" fontId="36" fillId="0" borderId="6" xfId="0" applyFont="1" applyBorder="1" applyAlignment="1">
      <alignment horizontal="center" vertical="center" wrapText="1"/>
    </xf>
  </cellXfs>
  <cellStyles count="9">
    <cellStyle name="Comma" xfId="1" builtinId="3"/>
    <cellStyle name="Comma 2" xfId="6" xr:uid="{00000000-0005-0000-0000-000001000000}"/>
    <cellStyle name="Followed Hyperlink" xfId="5" builtinId="9" hidden="1"/>
    <cellStyle name="Hyperlink" xfId="2" builtinId="8"/>
    <cellStyle name="Hyperlink 2" xfId="8" xr:uid="{00000000-0005-0000-0000-000004000000}"/>
    <cellStyle name="Normal" xfId="0" builtinId="0"/>
    <cellStyle name="Normal 3" xfId="3" xr:uid="{00000000-0005-0000-0000-000006000000}"/>
    <cellStyle name="Percent" xfId="4" builtinId="5"/>
    <cellStyle name="Percent 2" xfId="7" xr:uid="{00000000-0005-0000-0000-000008000000}"/>
  </cellStyles>
  <dxfs count="5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98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mill phase (kg </a:t>
            </a:r>
            <a:r>
              <a:rPr lang="en-US" sz="1800" b="1" i="0" u="none" strike="noStrike" baseline="0">
                <a:effectLst/>
              </a:rPr>
              <a:t>CO</a:t>
            </a:r>
            <a:r>
              <a:rPr lang="en-US" sz="1800" b="1" i="0" u="none" strike="noStrike" baseline="-25000">
                <a:effectLst/>
              </a:rPr>
              <a:t>2</a:t>
            </a:r>
            <a:r>
              <a:rPr lang="en-US" sz="1800" b="1" i="0" u="none" strike="noStrike" baseline="0">
                <a:effectLst/>
              </a:rPr>
              <a:t> eq./t cane)</a:t>
            </a:r>
            <a:endParaRPr lang="en-US"/>
          </a:p>
        </c:rich>
      </c:tx>
      <c:overlay val="0"/>
    </c:title>
    <c:autoTitleDeleted val="0"/>
    <c:plotArea>
      <c:layout/>
      <c:pieChart>
        <c:varyColors val="1"/>
        <c:ser>
          <c:idx val="0"/>
          <c:order val="0"/>
          <c:tx>
            <c:strRef>
              <c:f>'P3 Mill'!$B$148</c:f>
              <c:strCache>
                <c:ptCount val="1"/>
                <c:pt idx="0">
                  <c:v>Total mill phase</c:v>
                </c:pt>
              </c:strCache>
            </c:strRef>
          </c:tx>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('P3 Mill'!$B$105,'P3 Mill'!$B$110,'P3 Mill'!$B$115,'P3 Mill'!$B$119,'P3 Mill'!$B$124,'P3 Mill'!$B$128,'P3 Mill'!$B$132,'P3 Mill'!$B$134,'P3 Mill'!$B$138,'P3 Mill'!$B$142,'P3 Mill'!$B$146)</c:f>
              <c:strCache>
                <c:ptCount val="11"/>
                <c:pt idx="0">
                  <c:v>Bagasse combustion emissions</c:v>
                </c:pt>
                <c:pt idx="1">
                  <c:v>Diesel emissions</c:v>
                </c:pt>
                <c:pt idx="2">
                  <c:v>Coal emissions</c:v>
                </c:pt>
                <c:pt idx="3">
                  <c:v>Natural Gas emissions</c:v>
                </c:pt>
                <c:pt idx="4">
                  <c:v>Electricity emissions</c:v>
                </c:pt>
                <c:pt idx="5">
                  <c:v>Lubricants emissions</c:v>
                </c:pt>
                <c:pt idx="6">
                  <c:v> Emissions from imported biomass</c:v>
                </c:pt>
                <c:pt idx="7">
                  <c:v>Capital (plant and equipment) emissions</c:v>
                </c:pt>
                <c:pt idx="8">
                  <c:v>Process water emissions</c:v>
                </c:pt>
                <c:pt idx="9">
                  <c:v>Effluent treatment emissions</c:v>
                </c:pt>
                <c:pt idx="10">
                  <c:v>Production of chemicals emissions</c:v>
                </c:pt>
              </c:strCache>
            </c:strRef>
          </c:cat>
          <c:val>
            <c:numRef>
              <c:f>('P3 Mill'!$C$105,'P3 Mill'!$C$110,'P3 Mill'!$C$115,'P3 Mill'!$C$119,'P3 Mill'!$C$124,'P3 Mill'!$C$128,'P3 Mill'!$C$132,'P3 Mill'!$C$134,'P3 Mill'!$C$138,'P3 Mill'!$C$142,'P3 Mill'!$C$146)</c:f>
              <c:numCache>
                <c:formatCode>0.0</c:formatCode>
                <c:ptCount val="11"/>
                <c:pt idx="0" formatCode="0">
                  <c:v>0</c:v>
                </c:pt>
                <c:pt idx="1">
                  <c:v>0</c:v>
                </c:pt>
                <c:pt idx="2" formatCode="0">
                  <c:v>0</c:v>
                </c:pt>
                <c:pt idx="3" formatCode="General">
                  <c:v>0</c:v>
                </c:pt>
                <c:pt idx="4" formatCode="General">
                  <c:v>0</c:v>
                </c:pt>
                <c:pt idx="5">
                  <c:v>0</c:v>
                </c:pt>
                <c:pt idx="6" formatCode="General">
                  <c:v>0</c:v>
                </c:pt>
                <c:pt idx="7" formatCode="General">
                  <c:v>0</c:v>
                </c:pt>
                <c:pt idx="8">
                  <c:v>0</c:v>
                </c:pt>
                <c:pt idx="9" formatCode="General">
                  <c:v>0</c:v>
                </c:pt>
                <c:pt idx="10">
                  <c:v>0</c:v>
                </c:pt>
              </c:numCache>
            </c:numRef>
          </c:val>
          <c:extLst>
            <c:ext xmlns:c16="http://schemas.microsoft.com/office/drawing/2014/chart" uri="{C3380CC4-5D6E-409C-BE32-E72D297353CC}">
              <c16:uniqueId val="{00000000-4316-47E6-AFA2-77B696A0C65E}"/>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Gross</a:t>
            </a:r>
            <a:r>
              <a:rPr lang="en-GB" baseline="0"/>
              <a:t> </a:t>
            </a:r>
            <a:r>
              <a:rPr lang="en-GB"/>
              <a:t>GHG emissions (</a:t>
            </a:r>
            <a:r>
              <a:rPr lang="en-US" sz="1800" b="1" i="0" u="none" strike="noStrike" baseline="0">
                <a:effectLst/>
              </a:rPr>
              <a:t>kg CO</a:t>
            </a:r>
            <a:r>
              <a:rPr lang="en-US" sz="1800" b="1" i="0" u="none" strike="noStrike" baseline="-25000">
                <a:effectLst/>
              </a:rPr>
              <a:t>2</a:t>
            </a:r>
            <a:r>
              <a:rPr lang="en-US" sz="1800" b="1" i="0" u="none" strike="noStrike" baseline="0">
                <a:effectLst/>
              </a:rPr>
              <a:t> eq./t cane)</a:t>
            </a:r>
            <a:endParaRPr lang="en-GB"/>
          </a:p>
        </c:rich>
      </c:tx>
      <c:overlay val="0"/>
    </c:title>
    <c:autoTitleDeleted val="0"/>
    <c:plotArea>
      <c:layout>
        <c:manualLayout>
          <c:layoutTarget val="inner"/>
          <c:xMode val="edge"/>
          <c:yMode val="edge"/>
          <c:x val="9.7729221347331502E-2"/>
          <c:y val="0.208217774861476"/>
          <c:w val="0.45284711286089202"/>
          <c:h val="0.75474518810148705"/>
        </c:manualLayout>
      </c:layout>
      <c:pieChart>
        <c:varyColors val="1"/>
        <c:ser>
          <c:idx val="0"/>
          <c:order val="0"/>
          <c:tx>
            <c:v>Total GHG emissions</c:v>
          </c:tx>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('P3 Mill'!$B$154,'P3 Mill'!$B$155,'P3 Mill'!$B$156)</c:f>
              <c:strCache>
                <c:ptCount val="3"/>
                <c:pt idx="0">
                  <c:v>Total agricultural phase</c:v>
                </c:pt>
                <c:pt idx="1">
                  <c:v>Transportation of cane to mill emissions</c:v>
                </c:pt>
                <c:pt idx="2">
                  <c:v>Total mill phase</c:v>
                </c:pt>
              </c:strCache>
            </c:strRef>
          </c:cat>
          <c:val>
            <c:numRef>
              <c:f>('P3 Mill'!$C$154,'P3 Mill'!$C$155,'P3 Mill'!$C$156)</c:f>
              <c:numCache>
                <c:formatCode>0.00</c:formatCode>
                <c:ptCount val="3"/>
                <c:pt idx="0">
                  <c:v>91</c:v>
                </c:pt>
                <c:pt idx="1">
                  <c:v>0</c:v>
                </c:pt>
                <c:pt idx="2">
                  <c:v>0</c:v>
                </c:pt>
              </c:numCache>
            </c:numRef>
          </c:val>
          <c:extLst>
            <c:ext xmlns:c16="http://schemas.microsoft.com/office/drawing/2014/chart" uri="{C3380CC4-5D6E-409C-BE32-E72D297353CC}">
              <c16:uniqueId val="{00000000-41E6-48AC-8910-349F0F89F86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GHG emissions Agriculture (kg CO</a:t>
            </a:r>
            <a:r>
              <a:rPr lang="en-US" baseline="-25000"/>
              <a:t>2</a:t>
            </a:r>
            <a:r>
              <a:rPr lang="en-US" baseline="0"/>
              <a:t> eq./ha)</a:t>
            </a:r>
            <a:endParaRPr lang="en-US" baseline="-25000"/>
          </a:p>
        </c:rich>
      </c:tx>
      <c:overlay val="0"/>
    </c:title>
    <c:autoTitleDeleted val="0"/>
    <c:plotArea>
      <c:layout>
        <c:manualLayout>
          <c:layoutTarget val="inner"/>
          <c:xMode val="edge"/>
          <c:yMode val="edge"/>
          <c:x val="9.9965441819772502E-2"/>
          <c:y val="0.208217774861476"/>
          <c:w val="0.45284711286089202"/>
          <c:h val="0.75474518810148705"/>
        </c:manualLayout>
      </c:layout>
      <c:pieChart>
        <c:varyColors val="1"/>
        <c:ser>
          <c:idx val="0"/>
          <c:order val="0"/>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('P3 Agric'!$B$85,'P3 Agric'!$B$89,'P3 Agric'!$B$93,'P3 Agric'!$B$98,'P3 Agric'!$B$102,'P3 Agric'!$B$106,'P3 Agric'!$B$110,'P3 Agric'!$B$114,'P3 Agric'!$B$125,'P3 Agric'!$B$131,'P3 Agric'!$B$137,'P3 Agric'!$B$155,'P3 Agric'!$B$159,'P3 Agric'!$B$163,'P3 Agric'!$B$178,'P3 Agric'!$B$187,'P3 Agric'!$B$218)</c:f>
              <c:strCache>
                <c:ptCount val="17"/>
                <c:pt idx="0">
                  <c:v>Nitrogen fertilizer emissions</c:v>
                </c:pt>
                <c:pt idx="1">
                  <c:v>Phosphorus fertilizer emissions</c:v>
                </c:pt>
                <c:pt idx="2">
                  <c:v>Potassium fertilizer emissions</c:v>
                </c:pt>
                <c:pt idx="3">
                  <c:v>Lime</c:v>
                </c:pt>
                <c:pt idx="4">
                  <c:v>Herbicide</c:v>
                </c:pt>
                <c:pt idx="5">
                  <c:v>Pesticide</c:v>
                </c:pt>
                <c:pt idx="6">
                  <c:v>Ripener </c:v>
                </c:pt>
                <c:pt idx="7">
                  <c:v>Other crop chemicals</c:v>
                </c:pt>
                <c:pt idx="8">
                  <c:v>Transport emissions - fertilizers</c:v>
                </c:pt>
                <c:pt idx="9">
                  <c:v>Gasoline</c:v>
                </c:pt>
                <c:pt idx="10">
                  <c:v>Diesel</c:v>
                </c:pt>
                <c:pt idx="11">
                  <c:v> Natural Gas  </c:v>
                </c:pt>
                <c:pt idx="12">
                  <c:v>Electricity</c:v>
                </c:pt>
                <c:pt idx="13">
                  <c:v>Emissions from energy used in irrigation</c:v>
                </c:pt>
                <c:pt idx="14">
                  <c:v>Emissions from sugarcane burning</c:v>
                </c:pt>
                <c:pt idx="15">
                  <c:v>Emissions from residual EM left in fields</c:v>
                </c:pt>
                <c:pt idx="16">
                  <c:v>CO2 from land use change</c:v>
                </c:pt>
              </c:strCache>
            </c:strRef>
          </c:cat>
          <c:val>
            <c:numRef>
              <c:f>('P3 Agric'!$C$85,'P3 Agric'!$C$89,'P3 Agric'!$C$93,'P3 Agric'!$C$98,'P3 Agric'!$C$102,'P3 Agric'!$C$106,'P3 Agric'!$C$110,'P3 Agric'!$C$114,'P3 Agric'!$C$125,'P3 Agric'!$C$131,'P3 Agric'!$C$137,'P3 Agric'!$C$155,'P3 Agric'!$C$159,'P3 Agric'!$C$163,'P3 Agric'!$C$178,'P3 Agric'!$C$187,'P3 Agric'!$C$218)</c:f>
              <c:numCache>
                <c:formatCode>0</c:formatCode>
                <c:ptCount val="17"/>
                <c:pt idx="0">
                  <c:v>0</c:v>
                </c:pt>
                <c:pt idx="1">
                  <c:v>0</c:v>
                </c:pt>
                <c:pt idx="2">
                  <c:v>0</c:v>
                </c:pt>
                <c:pt idx="3">
                  <c:v>0</c:v>
                </c:pt>
                <c:pt idx="4">
                  <c:v>0</c:v>
                </c:pt>
                <c:pt idx="5">
                  <c:v>0</c:v>
                </c:pt>
                <c:pt idx="6">
                  <c:v>0</c:v>
                </c:pt>
                <c:pt idx="7">
                  <c:v>0</c:v>
                </c:pt>
                <c:pt idx="8">
                  <c:v>0</c:v>
                </c:pt>
                <c:pt idx="9">
                  <c:v>0</c:v>
                </c:pt>
                <c:pt idx="10">
                  <c:v>0</c:v>
                </c:pt>
                <c:pt idx="11" formatCode="General">
                  <c:v>0</c:v>
                </c:pt>
                <c:pt idx="12">
                  <c:v>0</c:v>
                </c:pt>
                <c:pt idx="13">
                  <c:v>0</c:v>
                </c:pt>
                <c:pt idx="14">
                  <c:v>0</c:v>
                </c:pt>
                <c:pt idx="15">
                  <c:v>0</c:v>
                </c:pt>
                <c:pt idx="16" formatCode="0.0">
                  <c:v>0</c:v>
                </c:pt>
              </c:numCache>
            </c:numRef>
          </c:val>
          <c:extLst>
            <c:ext xmlns:c16="http://schemas.microsoft.com/office/drawing/2014/chart" uri="{C3380CC4-5D6E-409C-BE32-E72D297353CC}">
              <c16:uniqueId val="{00000000-4D2D-46CC-8EE9-AE89F9CB770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979461942257218"/>
          <c:y val="0.23592300962379703"/>
          <c:w val="0.40047572178477692"/>
          <c:h val="0.66745953630796151"/>
        </c:manualLayout>
      </c:layout>
      <c:doughnutChart>
        <c:varyColors val="1"/>
        <c:ser>
          <c:idx val="0"/>
          <c:order val="0"/>
          <c:tx>
            <c:v>GHG emissions in scope 1, 2, 3</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4-3E81-47EB-A78B-E72B649A35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3E81-47EB-A78B-E72B649A35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3E81-47EB-A78B-E72B649A354D}"/>
              </c:ext>
            </c:extLst>
          </c:dPt>
          <c:dLbls>
            <c:dLbl>
              <c:idx val="0"/>
              <c:layout>
                <c:manualLayout>
                  <c:x val="0.22222222222222221"/>
                  <c:y val="4.16666666666666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E81-47EB-A78B-E72B649A354D}"/>
                </c:ext>
              </c:extLst>
            </c:dLbl>
            <c:dLbl>
              <c:idx val="1"/>
              <c:layout>
                <c:manualLayout>
                  <c:x val="-0.13611111111111113"/>
                  <c:y val="5.55555555555555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E81-47EB-A78B-E72B649A354D}"/>
                </c:ext>
              </c:extLst>
            </c:dLbl>
            <c:dLbl>
              <c:idx val="2"/>
              <c:layout>
                <c:manualLayout>
                  <c:x val="-0.20833333333333337"/>
                  <c:y val="-0.10648148148148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81-47EB-A78B-E72B649A354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'Scope 1&amp;2&amp;3'!$K$4:$K$6</c:f>
              <c:strCache>
                <c:ptCount val="3"/>
                <c:pt idx="0">
                  <c:v>Scope 1</c:v>
                </c:pt>
                <c:pt idx="1">
                  <c:v>Scope 2</c:v>
                </c:pt>
                <c:pt idx="2">
                  <c:v>Scope 3</c:v>
                </c:pt>
              </c:strCache>
            </c:strRef>
          </c:cat>
          <c:val>
            <c:numRef>
              <c:f>'Scope 1&amp;2&amp;3'!$L$4:$L$6</c:f>
              <c:numCache>
                <c:formatCode>0.0000</c:formatCode>
                <c:ptCount val="3"/>
                <c:pt idx="0">
                  <c:v>0</c:v>
                </c:pt>
                <c:pt idx="1">
                  <c:v>0</c:v>
                </c:pt>
                <c:pt idx="2">
                  <c:v>0</c:v>
                </c:pt>
              </c:numCache>
            </c:numRef>
          </c:val>
          <c:extLst>
            <c:ext xmlns:c16="http://schemas.microsoft.com/office/drawing/2014/chart" uri="{C3380CC4-5D6E-409C-BE32-E72D297353CC}">
              <c16:uniqueId val="{00000000-3E81-47EB-A78B-E72B649A354D}"/>
            </c:ext>
          </c:extLst>
        </c:ser>
        <c:dLbls>
          <c:showLegendKey val="0"/>
          <c:showVal val="0"/>
          <c:showCatName val="0"/>
          <c:showSerName val="0"/>
          <c:showPercent val="0"/>
          <c:showBubbleSize val="0"/>
          <c:showLeaderLines val="0"/>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jp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710711</xdr:colOff>
      <xdr:row>1</xdr:row>
      <xdr:rowOff>224937</xdr:rowOff>
    </xdr:to>
    <xdr:pic>
      <xdr:nvPicPr>
        <xdr:cNvPr id="3" name="Picture 2">
          <a:extLst>
            <a:ext uri="{FF2B5EF4-FFF2-40B4-BE49-F238E27FC236}">
              <a16:creationId xmlns:a16="http://schemas.microsoft.com/office/drawing/2014/main" id="{81B780FE-1A47-4D3A-A240-C69AFE8509BD}"/>
            </a:ext>
          </a:extLst>
        </xdr:cNvPr>
        <xdr:cNvPicPr>
          <a:picLocks noChangeAspect="1"/>
        </xdr:cNvPicPr>
      </xdr:nvPicPr>
      <xdr:blipFill>
        <a:blip xmlns:r="http://schemas.openxmlformats.org/officeDocument/2006/relationships" r:embed="rId1"/>
        <a:stretch>
          <a:fillRect/>
        </a:stretch>
      </xdr:blipFill>
      <xdr:spPr>
        <a:xfrm>
          <a:off x="0" y="0"/>
          <a:ext cx="1318846" cy="9283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2701636</xdr:colOff>
      <xdr:row>0</xdr:row>
      <xdr:rowOff>51954</xdr:rowOff>
    </xdr:from>
    <xdr:to>
      <xdr:col>5</xdr:col>
      <xdr:colOff>3860511</xdr:colOff>
      <xdr:row>0</xdr:row>
      <xdr:rowOff>869555</xdr:rowOff>
    </xdr:to>
    <xdr:pic>
      <xdr:nvPicPr>
        <xdr:cNvPr id="2" name="Picture 1">
          <a:extLst>
            <a:ext uri="{FF2B5EF4-FFF2-40B4-BE49-F238E27FC236}">
              <a16:creationId xmlns:a16="http://schemas.microsoft.com/office/drawing/2014/main" id="{5916584F-8914-44B7-AABB-1A3ADD721C42}"/>
            </a:ext>
          </a:extLst>
        </xdr:cNvPr>
        <xdr:cNvPicPr>
          <a:picLocks noChangeAspect="1"/>
        </xdr:cNvPicPr>
      </xdr:nvPicPr>
      <xdr:blipFill>
        <a:blip xmlns:r="http://schemas.openxmlformats.org/officeDocument/2006/relationships" r:embed="rId1"/>
        <a:stretch>
          <a:fillRect/>
        </a:stretch>
      </xdr:blipFill>
      <xdr:spPr>
        <a:xfrm>
          <a:off x="10503477" y="51954"/>
          <a:ext cx="1152525" cy="811251"/>
        </a:xfrm>
        <a:prstGeom prst="rect">
          <a:avLst/>
        </a:prstGeom>
      </xdr:spPr>
    </xdr:pic>
    <xdr:clientData/>
  </xdr:twoCellAnchor>
  <xdr:twoCellAnchor>
    <xdr:from>
      <xdr:col>5</xdr:col>
      <xdr:colOff>590551</xdr:colOff>
      <xdr:row>41</xdr:row>
      <xdr:rowOff>523875</xdr:rowOff>
    </xdr:from>
    <xdr:to>
      <xdr:col>5</xdr:col>
      <xdr:colOff>3124201</xdr:colOff>
      <xdr:row>41</xdr:row>
      <xdr:rowOff>801717</xdr:rowOff>
    </xdr:to>
    <xdr:pic>
      <xdr:nvPicPr>
        <xdr:cNvPr id="3" name="Picture 2">
          <a:extLst>
            <a:ext uri="{FF2B5EF4-FFF2-40B4-BE49-F238E27FC236}">
              <a16:creationId xmlns:a16="http://schemas.microsoft.com/office/drawing/2014/main" id="{FC2FE3C2-8C59-4C80-BDA3-2ED044674B3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9264651" y="14887575"/>
          <a:ext cx="2533650" cy="479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200025</xdr:colOff>
      <xdr:row>21</xdr:row>
      <xdr:rowOff>114299</xdr:rowOff>
    </xdr:from>
    <xdr:to>
      <xdr:col>13</xdr:col>
      <xdr:colOff>9525</xdr:colOff>
      <xdr:row>41</xdr:row>
      <xdr:rowOff>47625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228599</xdr:colOff>
      <xdr:row>1</xdr:row>
      <xdr:rowOff>114299</xdr:rowOff>
    </xdr:from>
    <xdr:to>
      <xdr:col>6</xdr:col>
      <xdr:colOff>400049</xdr:colOff>
      <xdr:row>21</xdr:row>
      <xdr:rowOff>9524</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21</xdr:row>
      <xdr:rowOff>114299</xdr:rowOff>
    </xdr:from>
    <xdr:to>
      <xdr:col>3</xdr:col>
      <xdr:colOff>123825</xdr:colOff>
      <xdr:row>41</xdr:row>
      <xdr:rowOff>47625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152400</xdr:colOff>
      <xdr:row>0</xdr:row>
      <xdr:rowOff>133350</xdr:rowOff>
    </xdr:from>
    <xdr:to>
      <xdr:col>13</xdr:col>
      <xdr:colOff>123825</xdr:colOff>
      <xdr:row>2</xdr:row>
      <xdr:rowOff>30201</xdr:rowOff>
    </xdr:to>
    <xdr:pic>
      <xdr:nvPicPr>
        <xdr:cNvPr id="8" name="Picture 7">
          <a:extLst>
            <a:ext uri="{FF2B5EF4-FFF2-40B4-BE49-F238E27FC236}">
              <a16:creationId xmlns:a16="http://schemas.microsoft.com/office/drawing/2014/main" id="{1FBDB4A3-6F2E-45A2-8891-F725E1383405}"/>
            </a:ext>
          </a:extLst>
        </xdr:cNvPr>
        <xdr:cNvPicPr>
          <a:picLocks noChangeAspect="1"/>
        </xdr:cNvPicPr>
      </xdr:nvPicPr>
      <xdr:blipFill>
        <a:blip xmlns:r="http://schemas.openxmlformats.org/officeDocument/2006/relationships" r:embed="rId4"/>
        <a:stretch>
          <a:fillRect/>
        </a:stretch>
      </xdr:blipFill>
      <xdr:spPr>
        <a:xfrm>
          <a:off x="10820400" y="133350"/>
          <a:ext cx="1152525" cy="8112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2628900</xdr:colOff>
      <xdr:row>0</xdr:row>
      <xdr:rowOff>57150</xdr:rowOff>
    </xdr:from>
    <xdr:to>
      <xdr:col>5</xdr:col>
      <xdr:colOff>3781425</xdr:colOff>
      <xdr:row>0</xdr:row>
      <xdr:rowOff>868401</xdr:rowOff>
    </xdr:to>
    <xdr:pic>
      <xdr:nvPicPr>
        <xdr:cNvPr id="5" name="Picture 4">
          <a:extLst>
            <a:ext uri="{FF2B5EF4-FFF2-40B4-BE49-F238E27FC236}">
              <a16:creationId xmlns:a16="http://schemas.microsoft.com/office/drawing/2014/main" id="{82EB7F98-7C8A-4A19-A1B3-2EACED5ED299}"/>
            </a:ext>
          </a:extLst>
        </xdr:cNvPr>
        <xdr:cNvPicPr>
          <a:picLocks noChangeAspect="1"/>
        </xdr:cNvPicPr>
      </xdr:nvPicPr>
      <xdr:blipFill>
        <a:blip xmlns:r="http://schemas.openxmlformats.org/officeDocument/2006/relationships" r:embed="rId1"/>
        <a:stretch>
          <a:fillRect/>
        </a:stretch>
      </xdr:blipFill>
      <xdr:spPr>
        <a:xfrm>
          <a:off x="10477500" y="57150"/>
          <a:ext cx="1152525" cy="811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2133600</xdr:colOff>
      <xdr:row>0</xdr:row>
      <xdr:rowOff>0</xdr:rowOff>
    </xdr:from>
    <xdr:to>
      <xdr:col>6</xdr:col>
      <xdr:colOff>0</xdr:colOff>
      <xdr:row>0</xdr:row>
      <xdr:rowOff>811251</xdr:rowOff>
    </xdr:to>
    <xdr:pic>
      <xdr:nvPicPr>
        <xdr:cNvPr id="3" name="Picture 2">
          <a:extLst>
            <a:ext uri="{FF2B5EF4-FFF2-40B4-BE49-F238E27FC236}">
              <a16:creationId xmlns:a16="http://schemas.microsoft.com/office/drawing/2014/main" id="{44790848-0423-4A46-BED2-6788BB059D85}"/>
            </a:ext>
          </a:extLst>
        </xdr:cNvPr>
        <xdr:cNvPicPr>
          <a:picLocks noChangeAspect="1"/>
        </xdr:cNvPicPr>
      </xdr:nvPicPr>
      <xdr:blipFill>
        <a:blip xmlns:r="http://schemas.openxmlformats.org/officeDocument/2006/relationships" r:embed="rId1"/>
        <a:stretch>
          <a:fillRect/>
        </a:stretch>
      </xdr:blipFill>
      <xdr:spPr>
        <a:xfrm>
          <a:off x="10487025" y="0"/>
          <a:ext cx="1152525" cy="8112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1981200</xdr:colOff>
      <xdr:row>0</xdr:row>
      <xdr:rowOff>0</xdr:rowOff>
    </xdr:from>
    <xdr:to>
      <xdr:col>5</xdr:col>
      <xdr:colOff>3133725</xdr:colOff>
      <xdr:row>0</xdr:row>
      <xdr:rowOff>811251</xdr:rowOff>
    </xdr:to>
    <xdr:pic>
      <xdr:nvPicPr>
        <xdr:cNvPr id="3" name="Picture 2">
          <a:extLst>
            <a:ext uri="{FF2B5EF4-FFF2-40B4-BE49-F238E27FC236}">
              <a16:creationId xmlns:a16="http://schemas.microsoft.com/office/drawing/2014/main" id="{71984B01-E264-4F93-9FAA-6292A3E75467}"/>
            </a:ext>
          </a:extLst>
        </xdr:cNvPr>
        <xdr:cNvPicPr>
          <a:picLocks noChangeAspect="1"/>
        </xdr:cNvPicPr>
      </xdr:nvPicPr>
      <xdr:blipFill>
        <a:blip xmlns:r="http://schemas.openxmlformats.org/officeDocument/2006/relationships" r:embed="rId1"/>
        <a:stretch>
          <a:fillRect/>
        </a:stretch>
      </xdr:blipFill>
      <xdr:spPr>
        <a:xfrm>
          <a:off x="10420350" y="0"/>
          <a:ext cx="1152525" cy="8112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2009775</xdr:colOff>
      <xdr:row>0</xdr:row>
      <xdr:rowOff>9525</xdr:rowOff>
    </xdr:from>
    <xdr:to>
      <xdr:col>5</xdr:col>
      <xdr:colOff>3162300</xdr:colOff>
      <xdr:row>0</xdr:row>
      <xdr:rowOff>820776</xdr:rowOff>
    </xdr:to>
    <xdr:pic>
      <xdr:nvPicPr>
        <xdr:cNvPr id="4" name="Picture 3">
          <a:extLst>
            <a:ext uri="{FF2B5EF4-FFF2-40B4-BE49-F238E27FC236}">
              <a16:creationId xmlns:a16="http://schemas.microsoft.com/office/drawing/2014/main" id="{8B2776B4-2106-4B10-921E-6C25DE2D6754}"/>
            </a:ext>
          </a:extLst>
        </xdr:cNvPr>
        <xdr:cNvPicPr>
          <a:picLocks noChangeAspect="1"/>
        </xdr:cNvPicPr>
      </xdr:nvPicPr>
      <xdr:blipFill>
        <a:blip xmlns:r="http://schemas.openxmlformats.org/officeDocument/2006/relationships" r:embed="rId1"/>
        <a:stretch>
          <a:fillRect/>
        </a:stretch>
      </xdr:blipFill>
      <xdr:spPr>
        <a:xfrm>
          <a:off x="10458450" y="9525"/>
          <a:ext cx="1152525" cy="8112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361415</xdr:colOff>
      <xdr:row>16</xdr:row>
      <xdr:rowOff>152826</xdr:rowOff>
    </xdr:from>
    <xdr:to>
      <xdr:col>25</xdr:col>
      <xdr:colOff>83285</xdr:colOff>
      <xdr:row>41</xdr:row>
      <xdr:rowOff>90831</xdr:rowOff>
    </xdr:to>
    <xdr:pic>
      <xdr:nvPicPr>
        <xdr:cNvPr id="2" name="Picture 1">
          <a:extLst>
            <a:ext uri="{FF2B5EF4-FFF2-40B4-BE49-F238E27FC236}">
              <a16:creationId xmlns:a16="http://schemas.microsoft.com/office/drawing/2014/main" id="{83E8D197-0AC3-4DB4-93C4-28C44B1BE5DE}"/>
            </a:ext>
          </a:extLst>
        </xdr:cNvPr>
        <xdr:cNvPicPr/>
      </xdr:nvPicPr>
      <xdr:blipFill rotWithShape="1">
        <a:blip xmlns:r="http://schemas.openxmlformats.org/officeDocument/2006/relationships" r:embed="rId1"/>
        <a:srcRect l="20866" t="20729" r="39943" b="7615"/>
        <a:stretch/>
      </xdr:blipFill>
      <xdr:spPr bwMode="auto">
        <a:xfrm>
          <a:off x="17624344" y="3137326"/>
          <a:ext cx="4584155" cy="4764005"/>
        </a:xfrm>
        <a:prstGeom prst="rect">
          <a:avLst/>
        </a:prstGeom>
        <a:ln>
          <a:noFill/>
        </a:ln>
        <a:extLst>
          <a:ext uri="{53640926-AAD7-44D8-BBD7-CCE9431645EC}">
            <a14:shadowObscured xmlns:a14="http://schemas.microsoft.com/office/drawing/2010/main"/>
          </a:ext>
        </a:extLst>
      </xdr:spPr>
    </xdr:pic>
    <xdr:clientData/>
  </xdr:twoCellAnchor>
  <xdr:twoCellAnchor>
    <xdr:from>
      <xdr:col>16</xdr:col>
      <xdr:colOff>24545</xdr:colOff>
      <xdr:row>1</xdr:row>
      <xdr:rowOff>145314</xdr:rowOff>
    </xdr:from>
    <xdr:to>
      <xdr:col>25</xdr:col>
      <xdr:colOff>512801</xdr:colOff>
      <xdr:row>13</xdr:row>
      <xdr:rowOff>37887</xdr:rowOff>
    </xdr:to>
    <xdr:sp macro="" textlink="">
      <xdr:nvSpPr>
        <xdr:cNvPr id="4" name="TextBox 3">
          <a:extLst>
            <a:ext uri="{FF2B5EF4-FFF2-40B4-BE49-F238E27FC236}">
              <a16:creationId xmlns:a16="http://schemas.microsoft.com/office/drawing/2014/main" id="{24EBFE33-9BB9-4C8E-91DB-2510A1C74658}"/>
            </a:ext>
          </a:extLst>
        </xdr:cNvPr>
        <xdr:cNvSpPr txBox="1"/>
      </xdr:nvSpPr>
      <xdr:spPr>
        <a:xfrm>
          <a:off x="16679688" y="326743"/>
          <a:ext cx="5958327" cy="2115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Scope 1:</a:t>
          </a:r>
        </a:p>
        <a:p>
          <a:r>
            <a:rPr lang="en-GB" sz="1100">
              <a:solidFill>
                <a:schemeClr val="dk1"/>
              </a:solidFill>
              <a:effectLst/>
              <a:latin typeface="+mn-lt"/>
              <a:ea typeface="+mn-ea"/>
              <a:cs typeface="+mn-cs"/>
            </a:rPr>
            <a:t>Direct source: owned or controlled by the reporting company </a:t>
          </a:r>
        </a:p>
        <a:p>
          <a:r>
            <a:rPr lang="en-GB" sz="1100">
              <a:solidFill>
                <a:schemeClr val="dk1"/>
              </a:solidFill>
              <a:effectLst/>
              <a:latin typeface="+mn-lt"/>
              <a:ea typeface="+mn-ea"/>
              <a:cs typeface="+mn-cs"/>
            </a:rPr>
            <a:t>Scope 2:</a:t>
          </a:r>
        </a:p>
        <a:p>
          <a:r>
            <a:rPr lang="en-GB" sz="1100">
              <a:solidFill>
                <a:schemeClr val="dk1"/>
              </a:solidFill>
              <a:effectLst/>
              <a:latin typeface="+mn-lt"/>
              <a:ea typeface="+mn-ea"/>
              <a:cs typeface="+mn-cs"/>
            </a:rPr>
            <a:t>Indirect source, the generation of electricity, heat, or steam that is purchased by the reporting company. (all about energy purchased). </a:t>
          </a:r>
          <a:r>
            <a:rPr lang="en-GB" sz="1100" b="1">
              <a:solidFill>
                <a:schemeClr val="dk1"/>
              </a:solidFill>
              <a:effectLst/>
              <a:latin typeface="+mn-lt"/>
              <a:ea typeface="+mn-ea"/>
              <a:cs typeface="+mn-cs"/>
            </a:rPr>
            <a:t>From my understanding, it is the energy that don’t need to be carried by transportation vehicle, only by transmission line and pipe to the reporting company.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Scope 3:</a:t>
          </a:r>
        </a:p>
        <a:p>
          <a:r>
            <a:rPr lang="en-GB" sz="1100">
              <a:solidFill>
                <a:schemeClr val="dk1"/>
              </a:solidFill>
              <a:effectLst/>
              <a:latin typeface="+mn-lt"/>
              <a:ea typeface="+mn-ea"/>
              <a:cs typeface="+mn-cs"/>
            </a:rPr>
            <a:t>Indirect source as well, all other indirect emissions. </a:t>
          </a:r>
        </a:p>
        <a:p>
          <a:endParaRPr lang="en-GB" sz="1100"/>
        </a:p>
      </xdr:txBody>
    </xdr:sp>
    <xdr:clientData/>
  </xdr:twoCellAnchor>
  <xdr:twoCellAnchor editAs="oneCell">
    <xdr:from>
      <xdr:col>25</xdr:col>
      <xdr:colOff>317500</xdr:colOff>
      <xdr:row>6</xdr:row>
      <xdr:rowOff>18145</xdr:rowOff>
    </xdr:from>
    <xdr:to>
      <xdr:col>38</xdr:col>
      <xdr:colOff>188686</xdr:colOff>
      <xdr:row>36</xdr:row>
      <xdr:rowOff>87088</xdr:rowOff>
    </xdr:to>
    <xdr:pic>
      <xdr:nvPicPr>
        <xdr:cNvPr id="5" name="Picture 4">
          <a:extLst>
            <a:ext uri="{FF2B5EF4-FFF2-40B4-BE49-F238E27FC236}">
              <a16:creationId xmlns:a16="http://schemas.microsoft.com/office/drawing/2014/main" id="{C305F16C-D190-4A88-ADBD-01546B8BEAF5}"/>
            </a:ext>
          </a:extLst>
        </xdr:cNvPr>
        <xdr:cNvPicPr>
          <a:picLocks noChangeAspect="1"/>
        </xdr:cNvPicPr>
      </xdr:nvPicPr>
      <xdr:blipFill>
        <a:blip xmlns:r="http://schemas.openxmlformats.org/officeDocument/2006/relationships" r:embed="rId2"/>
        <a:stretch>
          <a:fillRect/>
        </a:stretch>
      </xdr:blipFill>
      <xdr:spPr>
        <a:xfrm>
          <a:off x="22442714" y="1124859"/>
          <a:ext cx="7772401" cy="5829300"/>
        </a:xfrm>
        <a:prstGeom prst="rect">
          <a:avLst/>
        </a:prstGeom>
      </xdr:spPr>
    </xdr:pic>
    <xdr:clientData/>
  </xdr:twoCellAnchor>
  <xdr:twoCellAnchor>
    <xdr:from>
      <xdr:col>9</xdr:col>
      <xdr:colOff>185965</xdr:colOff>
      <xdr:row>9</xdr:row>
      <xdr:rowOff>52614</xdr:rowOff>
    </xdr:from>
    <xdr:to>
      <xdr:col>16</xdr:col>
      <xdr:colOff>149679</xdr:colOff>
      <xdr:row>23</xdr:row>
      <xdr:rowOff>174171</xdr:rowOff>
    </xdr:to>
    <xdr:graphicFrame macro="">
      <xdr:nvGraphicFramePr>
        <xdr:cNvPr id="8" name="Chart 7">
          <a:extLst>
            <a:ext uri="{FF2B5EF4-FFF2-40B4-BE49-F238E27FC236}">
              <a16:creationId xmlns:a16="http://schemas.microsoft.com/office/drawing/2014/main" id="{6CE3D344-DF6A-4F4B-A4D9-C9D89B1CC6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462642</xdr:colOff>
      <xdr:row>39</xdr:row>
      <xdr:rowOff>0</xdr:rowOff>
    </xdr:from>
    <xdr:to>
      <xdr:col>13</xdr:col>
      <xdr:colOff>99785</xdr:colOff>
      <xdr:row>43</xdr:row>
      <xdr:rowOff>45357</xdr:rowOff>
    </xdr:to>
    <xdr:sp macro="" textlink="">
      <xdr:nvSpPr>
        <xdr:cNvPr id="3" name="TextBox 2">
          <a:extLst>
            <a:ext uri="{FF2B5EF4-FFF2-40B4-BE49-F238E27FC236}">
              <a16:creationId xmlns:a16="http://schemas.microsoft.com/office/drawing/2014/main" id="{505ED600-805D-47A5-820C-40859B553AD5}"/>
            </a:ext>
          </a:extLst>
        </xdr:cNvPr>
        <xdr:cNvSpPr txBox="1"/>
      </xdr:nvSpPr>
      <xdr:spPr>
        <a:xfrm>
          <a:off x="13117285" y="7429500"/>
          <a:ext cx="1814286" cy="789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This</a:t>
          </a:r>
          <a:r>
            <a:rPr lang="en-GB" sz="1100" baseline="0">
              <a:solidFill>
                <a:srgbClr val="FF0000"/>
              </a:solidFill>
            </a:rPr>
            <a:t> orange highlights area was used to check data, will be removed once data was validated !!</a:t>
          </a:r>
          <a:endParaRPr lang="en-GB" sz="1100">
            <a:solidFill>
              <a:srgbClr val="FF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2828925</xdr:colOff>
      <xdr:row>0</xdr:row>
      <xdr:rowOff>76200</xdr:rowOff>
    </xdr:from>
    <xdr:to>
      <xdr:col>8</xdr:col>
      <xdr:colOff>3981450</xdr:colOff>
      <xdr:row>0</xdr:row>
      <xdr:rowOff>887451</xdr:rowOff>
    </xdr:to>
    <xdr:pic>
      <xdr:nvPicPr>
        <xdr:cNvPr id="3" name="Picture 2">
          <a:extLst>
            <a:ext uri="{FF2B5EF4-FFF2-40B4-BE49-F238E27FC236}">
              <a16:creationId xmlns:a16="http://schemas.microsoft.com/office/drawing/2014/main" id="{08DDF454-CD8C-4AAB-B52C-CCBA3B7A0DAA}"/>
            </a:ext>
          </a:extLst>
        </xdr:cNvPr>
        <xdr:cNvPicPr>
          <a:picLocks noChangeAspect="1"/>
        </xdr:cNvPicPr>
      </xdr:nvPicPr>
      <xdr:blipFill>
        <a:blip xmlns:r="http://schemas.openxmlformats.org/officeDocument/2006/relationships" r:embed="rId1"/>
        <a:stretch>
          <a:fillRect/>
        </a:stretch>
      </xdr:blipFill>
      <xdr:spPr>
        <a:xfrm>
          <a:off x="12268200" y="76200"/>
          <a:ext cx="1152525" cy="8112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2114550</xdr:colOff>
      <xdr:row>0</xdr:row>
      <xdr:rowOff>190500</xdr:rowOff>
    </xdr:from>
    <xdr:to>
      <xdr:col>5</xdr:col>
      <xdr:colOff>3267075</xdr:colOff>
      <xdr:row>0</xdr:row>
      <xdr:rowOff>1001751</xdr:rowOff>
    </xdr:to>
    <xdr:pic>
      <xdr:nvPicPr>
        <xdr:cNvPr id="4" name="Picture 3">
          <a:extLst>
            <a:ext uri="{FF2B5EF4-FFF2-40B4-BE49-F238E27FC236}">
              <a16:creationId xmlns:a16="http://schemas.microsoft.com/office/drawing/2014/main" id="{DFF29F42-CEE4-4BCE-9137-72A32DFAA01A}"/>
            </a:ext>
          </a:extLst>
        </xdr:cNvPr>
        <xdr:cNvPicPr>
          <a:picLocks noChangeAspect="1"/>
        </xdr:cNvPicPr>
      </xdr:nvPicPr>
      <xdr:blipFill>
        <a:blip xmlns:r="http://schemas.openxmlformats.org/officeDocument/2006/relationships" r:embed="rId1"/>
        <a:stretch>
          <a:fillRect/>
        </a:stretch>
      </xdr:blipFill>
      <xdr:spPr>
        <a:xfrm>
          <a:off x="9486900" y="190500"/>
          <a:ext cx="1152525" cy="8112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3019425</xdr:colOff>
      <xdr:row>0</xdr:row>
      <xdr:rowOff>0</xdr:rowOff>
    </xdr:from>
    <xdr:to>
      <xdr:col>3</xdr:col>
      <xdr:colOff>4171950</xdr:colOff>
      <xdr:row>0</xdr:row>
      <xdr:rowOff>811251</xdr:rowOff>
    </xdr:to>
    <xdr:pic>
      <xdr:nvPicPr>
        <xdr:cNvPr id="3" name="Picture 2">
          <a:extLst>
            <a:ext uri="{FF2B5EF4-FFF2-40B4-BE49-F238E27FC236}">
              <a16:creationId xmlns:a16="http://schemas.microsoft.com/office/drawing/2014/main" id="{60632017-69E4-44F5-A3A2-31E9AF0AAD7D}"/>
            </a:ext>
          </a:extLst>
        </xdr:cNvPr>
        <xdr:cNvPicPr>
          <a:picLocks noChangeAspect="1"/>
        </xdr:cNvPicPr>
      </xdr:nvPicPr>
      <xdr:blipFill>
        <a:blip xmlns:r="http://schemas.openxmlformats.org/officeDocument/2006/relationships" r:embed="rId1"/>
        <a:stretch>
          <a:fillRect/>
        </a:stretch>
      </xdr:blipFill>
      <xdr:spPr>
        <a:xfrm>
          <a:off x="8267700" y="0"/>
          <a:ext cx="1152525" cy="811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372382</xdr:colOff>
      <xdr:row>3</xdr:row>
      <xdr:rowOff>75293</xdr:rowOff>
    </xdr:from>
    <xdr:to>
      <xdr:col>0</xdr:col>
      <xdr:colOff>1914812</xdr:colOff>
      <xdr:row>6</xdr:row>
      <xdr:rowOff>50979</xdr:rowOff>
    </xdr:to>
    <xdr:pic>
      <xdr:nvPicPr>
        <xdr:cNvPr id="4" name="Picture 3">
          <a:extLst>
            <a:ext uri="{FF2B5EF4-FFF2-40B4-BE49-F238E27FC236}">
              <a16:creationId xmlns:a16="http://schemas.microsoft.com/office/drawing/2014/main" id="{999E6000-449C-4427-8D97-2EF0D8D7BB53}"/>
            </a:ext>
          </a:extLst>
        </xdr:cNvPr>
        <xdr:cNvPicPr>
          <a:picLocks noChangeAspect="1"/>
        </xdr:cNvPicPr>
      </xdr:nvPicPr>
      <xdr:blipFill>
        <a:blip xmlns:r="http://schemas.openxmlformats.org/officeDocument/2006/relationships" r:embed="rId1"/>
        <a:stretch>
          <a:fillRect/>
        </a:stretch>
      </xdr:blipFill>
      <xdr:spPr>
        <a:xfrm>
          <a:off x="372382" y="1327150"/>
          <a:ext cx="1544030" cy="955400"/>
        </a:xfrm>
        <a:prstGeom prst="rect">
          <a:avLst/>
        </a:prstGeom>
      </xdr:spPr>
    </xdr:pic>
    <xdr:clientData/>
  </xdr:twoCellAnchor>
  <xdr:oneCellAnchor>
    <xdr:from>
      <xdr:col>6</xdr:col>
      <xdr:colOff>344979</xdr:colOff>
      <xdr:row>19</xdr:row>
      <xdr:rowOff>109764</xdr:rowOff>
    </xdr:from>
    <xdr:ext cx="7610931" cy="689590"/>
    <xdr:sp macro="" textlink="">
      <xdr:nvSpPr>
        <xdr:cNvPr id="5" name="TextBox 1">
          <a:extLst>
            <a:ext uri="{FF2B5EF4-FFF2-40B4-BE49-F238E27FC236}">
              <a16:creationId xmlns:a16="http://schemas.microsoft.com/office/drawing/2014/main" id="{58B0FA2C-166C-45C6-9CC4-852EBA8EF69F}"/>
            </a:ext>
            <a:ext uri="{147F2762-F138-4A5C-976F-8EAC2B608ADB}">
              <a16:predDERef xmlns:a16="http://schemas.microsoft.com/office/drawing/2014/main" pred="{999E6000-449C-4427-8D97-2EF0D8D7BB53}"/>
            </a:ext>
          </a:extLst>
        </xdr:cNvPr>
        <xdr:cNvSpPr txBox="1"/>
      </xdr:nvSpPr>
      <xdr:spPr>
        <a:xfrm>
          <a:off x="12947861" y="4554764"/>
          <a:ext cx="7610931" cy="689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0" i="0" u="none" strike="noStrike">
              <a:solidFill>
                <a:schemeClr val="tx1"/>
              </a:solidFill>
              <a:effectLst/>
              <a:latin typeface="+mn-lt"/>
              <a:ea typeface="+mn-ea"/>
              <a:cs typeface="+mn-cs"/>
            </a:rPr>
            <a:t>In order to gain certification - all core indicators must be met plus 80% of indicators from P1 - P4. </a:t>
          </a:r>
        </a:p>
        <a:p>
          <a:r>
            <a:rPr lang="en-GB" sz="1100" b="0" i="0" u="none" strike="noStrike">
              <a:solidFill>
                <a:schemeClr val="tx1"/>
              </a:solidFill>
              <a:effectLst/>
              <a:latin typeface="+mn-lt"/>
              <a:ea typeface="+mn-ea"/>
              <a:cs typeface="+mn-cs"/>
            </a:rPr>
            <a:t>In the first year of certification the operators must show the development of a TBIP + that 20% of indicators in P5 have been met. </a:t>
          </a:r>
        </a:p>
        <a:p>
          <a:r>
            <a:rPr lang="en-GB" sz="1100" b="0" i="0" u="none" strike="noStrike">
              <a:solidFill>
                <a:schemeClr val="tx1"/>
              </a:solidFill>
              <a:effectLst/>
              <a:latin typeface="+mn-lt"/>
              <a:ea typeface="+mn-ea"/>
              <a:cs typeface="+mn-cs"/>
            </a:rPr>
            <a:t>In the second year the operator has to show implementation of TBIP + 40% of indicators of P5 and every year 20% more...</a:t>
          </a:r>
          <a:r>
            <a:rPr lang="en-GB"/>
            <a:t> </a:t>
          </a: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476250</xdr:colOff>
      <xdr:row>0</xdr:row>
      <xdr:rowOff>66675</xdr:rowOff>
    </xdr:from>
    <xdr:to>
      <xdr:col>10</xdr:col>
      <xdr:colOff>447675</xdr:colOff>
      <xdr:row>1</xdr:row>
      <xdr:rowOff>173076</xdr:rowOff>
    </xdr:to>
    <xdr:pic>
      <xdr:nvPicPr>
        <xdr:cNvPr id="6" name="Picture 5">
          <a:extLst>
            <a:ext uri="{FF2B5EF4-FFF2-40B4-BE49-F238E27FC236}">
              <a16:creationId xmlns:a16="http://schemas.microsoft.com/office/drawing/2014/main" id="{5C3BBD66-203B-4901-AC23-742F50A1924B}"/>
            </a:ext>
          </a:extLst>
        </xdr:cNvPr>
        <xdr:cNvPicPr>
          <a:picLocks noChangeAspect="1"/>
        </xdr:cNvPicPr>
      </xdr:nvPicPr>
      <xdr:blipFill>
        <a:blip xmlns:r="http://schemas.openxmlformats.org/officeDocument/2006/relationships" r:embed="rId1"/>
        <a:stretch>
          <a:fillRect/>
        </a:stretch>
      </xdr:blipFill>
      <xdr:spPr>
        <a:xfrm>
          <a:off x="7372350" y="66675"/>
          <a:ext cx="1152525" cy="8112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8743950</xdr:colOff>
      <xdr:row>0</xdr:row>
      <xdr:rowOff>171450</xdr:rowOff>
    </xdr:from>
    <xdr:to>
      <xdr:col>1</xdr:col>
      <xdr:colOff>66675</xdr:colOff>
      <xdr:row>2</xdr:row>
      <xdr:rowOff>58776</xdr:rowOff>
    </xdr:to>
    <xdr:pic>
      <xdr:nvPicPr>
        <xdr:cNvPr id="4" name="Picture 3">
          <a:extLst>
            <a:ext uri="{FF2B5EF4-FFF2-40B4-BE49-F238E27FC236}">
              <a16:creationId xmlns:a16="http://schemas.microsoft.com/office/drawing/2014/main" id="{2C0F00B5-2FFD-4B99-A10D-9C85E67F5FEC}"/>
            </a:ext>
          </a:extLst>
        </xdr:cNvPr>
        <xdr:cNvPicPr>
          <a:picLocks noChangeAspect="1"/>
        </xdr:cNvPicPr>
      </xdr:nvPicPr>
      <xdr:blipFill>
        <a:blip xmlns:r="http://schemas.openxmlformats.org/officeDocument/2006/relationships" r:embed="rId1"/>
        <a:stretch>
          <a:fillRect/>
        </a:stretch>
      </xdr:blipFill>
      <xdr:spPr>
        <a:xfrm>
          <a:off x="8743950" y="171450"/>
          <a:ext cx="1152525" cy="8112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7</xdr:col>
      <xdr:colOff>295275</xdr:colOff>
      <xdr:row>1</xdr:row>
      <xdr:rowOff>515976</xdr:rowOff>
    </xdr:to>
    <xdr:pic>
      <xdr:nvPicPr>
        <xdr:cNvPr id="5" name="Picture 4">
          <a:extLst>
            <a:ext uri="{FF2B5EF4-FFF2-40B4-BE49-F238E27FC236}">
              <a16:creationId xmlns:a16="http://schemas.microsoft.com/office/drawing/2014/main" id="{3D18AA01-7C5B-4ADB-9B17-E81DAE938614}"/>
            </a:ext>
          </a:extLst>
        </xdr:cNvPr>
        <xdr:cNvPicPr>
          <a:picLocks noChangeAspect="1"/>
        </xdr:cNvPicPr>
      </xdr:nvPicPr>
      <xdr:blipFill>
        <a:blip xmlns:r="http://schemas.openxmlformats.org/officeDocument/2006/relationships" r:embed="rId1"/>
        <a:stretch>
          <a:fillRect/>
        </a:stretch>
      </xdr:blipFill>
      <xdr:spPr>
        <a:xfrm>
          <a:off x="5838825" y="0"/>
          <a:ext cx="1152525" cy="811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60613</xdr:colOff>
      <xdr:row>0</xdr:row>
      <xdr:rowOff>0</xdr:rowOff>
    </xdr:from>
    <xdr:to>
      <xdr:col>6</xdr:col>
      <xdr:colOff>1076393</xdr:colOff>
      <xdr:row>3</xdr:row>
      <xdr:rowOff>655106</xdr:rowOff>
    </xdr:to>
    <xdr:pic>
      <xdr:nvPicPr>
        <xdr:cNvPr id="4" name="Picture 3">
          <a:extLst>
            <a:ext uri="{FF2B5EF4-FFF2-40B4-BE49-F238E27FC236}">
              <a16:creationId xmlns:a16="http://schemas.microsoft.com/office/drawing/2014/main" id="{16BF7399-EE4C-4A10-904C-2000B5E47BEA}"/>
            </a:ext>
          </a:extLst>
        </xdr:cNvPr>
        <xdr:cNvPicPr>
          <a:picLocks noChangeAspect="1"/>
        </xdr:cNvPicPr>
      </xdr:nvPicPr>
      <xdr:blipFill>
        <a:blip xmlns:r="http://schemas.openxmlformats.org/officeDocument/2006/relationships" r:embed="rId1"/>
        <a:stretch>
          <a:fillRect/>
        </a:stretch>
      </xdr:blipFill>
      <xdr:spPr>
        <a:xfrm>
          <a:off x="7455477" y="0"/>
          <a:ext cx="3091296" cy="2175931"/>
        </a:xfrm>
        <a:prstGeom prst="rect">
          <a:avLst/>
        </a:prstGeom>
      </xdr:spPr>
    </xdr:pic>
    <xdr:clientData/>
  </xdr:twoCellAnchor>
  <xdr:twoCellAnchor>
    <xdr:from>
      <xdr:col>6</xdr:col>
      <xdr:colOff>1514927</xdr:colOff>
      <xdr:row>2</xdr:row>
      <xdr:rowOff>36284</xdr:rowOff>
    </xdr:from>
    <xdr:to>
      <xdr:col>13</xdr:col>
      <xdr:colOff>18143</xdr:colOff>
      <xdr:row>3</xdr:row>
      <xdr:rowOff>689429</xdr:rowOff>
    </xdr:to>
    <xdr:sp macro="" textlink="">
      <xdr:nvSpPr>
        <xdr:cNvPr id="2" name="TextBox 1">
          <a:extLst>
            <a:ext uri="{FF2B5EF4-FFF2-40B4-BE49-F238E27FC236}">
              <a16:creationId xmlns:a16="http://schemas.microsoft.com/office/drawing/2014/main" id="{76ECE756-E92A-4CDF-83FC-13FFA2F3CD4D}"/>
            </a:ext>
          </a:extLst>
        </xdr:cNvPr>
        <xdr:cNvSpPr txBox="1"/>
      </xdr:nvSpPr>
      <xdr:spPr>
        <a:xfrm>
          <a:off x="13824856" y="662213"/>
          <a:ext cx="6467930" cy="1215573"/>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C000"/>
              </a:solidFill>
            </a:rPr>
            <a:t>Orange</a:t>
          </a:r>
          <a:r>
            <a:rPr lang="en-GB" sz="1400" baseline="0">
              <a:solidFill>
                <a:srgbClr val="FFC000"/>
              </a:solidFill>
            </a:rPr>
            <a:t> </a:t>
          </a:r>
          <a:r>
            <a:rPr lang="en-GB" sz="1400" baseline="0"/>
            <a:t>colour means new input data</a:t>
          </a:r>
          <a:br>
            <a:rPr lang="en-GB" sz="1400" baseline="0"/>
          </a:br>
          <a:br>
            <a:rPr lang="en-GB" sz="1400" baseline="0"/>
          </a:br>
          <a:r>
            <a:rPr lang="en-GB" sz="1400" b="1" baseline="0">
              <a:solidFill>
                <a:srgbClr val="92D050"/>
              </a:solidFill>
            </a:rPr>
            <a:t>Green</a:t>
          </a:r>
          <a:r>
            <a:rPr lang="en-GB" sz="1400" baseline="0"/>
            <a:t> colour means old input data but renumbering  </a:t>
          </a:r>
        </a:p>
        <a:p>
          <a:endParaRPr lang="en-GB" sz="1400" baseline="0"/>
        </a:p>
        <a:p>
          <a:r>
            <a:rPr lang="en-GB" sz="1400" b="1" baseline="0">
              <a:solidFill>
                <a:srgbClr val="00B0F0"/>
              </a:solidFill>
              <a:effectLst/>
              <a:latin typeface="+mn-lt"/>
              <a:ea typeface="+mn-ea"/>
              <a:cs typeface="+mn-cs"/>
            </a:rPr>
            <a:t>Blue</a:t>
          </a:r>
          <a:r>
            <a:rPr lang="en-GB" sz="1400" baseline="0">
              <a:solidFill>
                <a:schemeClr val="dk1"/>
              </a:solidFill>
              <a:effectLst/>
              <a:latin typeface="+mn-lt"/>
              <a:ea typeface="+mn-ea"/>
              <a:cs typeface="+mn-cs"/>
            </a:rPr>
            <a:t> colour  means input data related to non-exist indicators, may be removed later </a:t>
          </a:r>
          <a:endParaRPr lang="en-GB"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767042</xdr:colOff>
      <xdr:row>0</xdr:row>
      <xdr:rowOff>98612</xdr:rowOff>
    </xdr:from>
    <xdr:to>
      <xdr:col>5</xdr:col>
      <xdr:colOff>978273</xdr:colOff>
      <xdr:row>0</xdr:row>
      <xdr:rowOff>909863</xdr:rowOff>
    </xdr:to>
    <xdr:pic>
      <xdr:nvPicPr>
        <xdr:cNvPr id="2" name="Picture 2">
          <a:extLst>
            <a:ext uri="{FF2B5EF4-FFF2-40B4-BE49-F238E27FC236}">
              <a16:creationId xmlns:a16="http://schemas.microsoft.com/office/drawing/2014/main" id="{66BBC5C5-6785-4B73-B4DC-97E658013E59}"/>
            </a:ext>
          </a:extLst>
        </xdr:cNvPr>
        <xdr:cNvPicPr>
          <a:picLocks noChangeAspect="1"/>
        </xdr:cNvPicPr>
      </xdr:nvPicPr>
      <xdr:blipFill>
        <a:blip xmlns:r="http://schemas.openxmlformats.org/officeDocument/2006/relationships" r:embed="rId1"/>
        <a:stretch>
          <a:fillRect/>
        </a:stretch>
      </xdr:blipFill>
      <xdr:spPr>
        <a:xfrm>
          <a:off x="9858748" y="98612"/>
          <a:ext cx="1152525" cy="8112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1990725</xdr:colOff>
      <xdr:row>0</xdr:row>
      <xdr:rowOff>19050</xdr:rowOff>
    </xdr:from>
    <xdr:to>
      <xdr:col>5</xdr:col>
      <xdr:colOff>3143250</xdr:colOff>
      <xdr:row>0</xdr:row>
      <xdr:rowOff>830301</xdr:rowOff>
    </xdr:to>
    <xdr:pic>
      <xdr:nvPicPr>
        <xdr:cNvPr id="3" name="Picture 2">
          <a:extLst>
            <a:ext uri="{FF2B5EF4-FFF2-40B4-BE49-F238E27FC236}">
              <a16:creationId xmlns:a16="http://schemas.microsoft.com/office/drawing/2014/main" id="{8E70A1A0-9BC5-42C2-B435-DFE58225E903}"/>
            </a:ext>
          </a:extLst>
        </xdr:cNvPr>
        <xdr:cNvPicPr>
          <a:picLocks noChangeAspect="1"/>
        </xdr:cNvPicPr>
      </xdr:nvPicPr>
      <xdr:blipFill>
        <a:blip xmlns:r="http://schemas.openxmlformats.org/officeDocument/2006/relationships" r:embed="rId1"/>
        <a:stretch>
          <a:fillRect/>
        </a:stretch>
      </xdr:blipFill>
      <xdr:spPr>
        <a:xfrm>
          <a:off x="10982325" y="19050"/>
          <a:ext cx="1152525" cy="811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2371725</xdr:colOff>
      <xdr:row>0</xdr:row>
      <xdr:rowOff>19050</xdr:rowOff>
    </xdr:from>
    <xdr:to>
      <xdr:col>6</xdr:col>
      <xdr:colOff>38100</xdr:colOff>
      <xdr:row>0</xdr:row>
      <xdr:rowOff>830301</xdr:rowOff>
    </xdr:to>
    <xdr:pic>
      <xdr:nvPicPr>
        <xdr:cNvPr id="4" name="Picture 3">
          <a:extLst>
            <a:ext uri="{FF2B5EF4-FFF2-40B4-BE49-F238E27FC236}">
              <a16:creationId xmlns:a16="http://schemas.microsoft.com/office/drawing/2014/main" id="{C509F774-8BBB-4F7D-8EBD-D41D1D437F55}"/>
            </a:ext>
          </a:extLst>
        </xdr:cNvPr>
        <xdr:cNvPicPr>
          <a:picLocks noChangeAspect="1"/>
        </xdr:cNvPicPr>
      </xdr:nvPicPr>
      <xdr:blipFill>
        <a:blip xmlns:r="http://schemas.openxmlformats.org/officeDocument/2006/relationships" r:embed="rId1"/>
        <a:stretch>
          <a:fillRect/>
        </a:stretch>
      </xdr:blipFill>
      <xdr:spPr>
        <a:xfrm>
          <a:off x="10648950" y="19050"/>
          <a:ext cx="1152525" cy="8112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2009775</xdr:colOff>
      <xdr:row>0</xdr:row>
      <xdr:rowOff>47625</xdr:rowOff>
    </xdr:from>
    <xdr:to>
      <xdr:col>5</xdr:col>
      <xdr:colOff>3162300</xdr:colOff>
      <xdr:row>1</xdr:row>
      <xdr:rowOff>106401</xdr:rowOff>
    </xdr:to>
    <xdr:pic>
      <xdr:nvPicPr>
        <xdr:cNvPr id="2" name="Picture 1">
          <a:extLst>
            <a:ext uri="{FF2B5EF4-FFF2-40B4-BE49-F238E27FC236}">
              <a16:creationId xmlns:a16="http://schemas.microsoft.com/office/drawing/2014/main" id="{D6704DFB-473B-4A5B-ABCD-89DC98E2BDB9}"/>
            </a:ext>
          </a:extLst>
        </xdr:cNvPr>
        <xdr:cNvPicPr>
          <a:picLocks noChangeAspect="1"/>
        </xdr:cNvPicPr>
      </xdr:nvPicPr>
      <xdr:blipFill>
        <a:blip xmlns:r="http://schemas.openxmlformats.org/officeDocument/2006/relationships" r:embed="rId1"/>
        <a:stretch>
          <a:fillRect/>
        </a:stretch>
      </xdr:blipFill>
      <xdr:spPr>
        <a:xfrm>
          <a:off x="10477500" y="47625"/>
          <a:ext cx="1152525" cy="811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2257425</xdr:colOff>
      <xdr:row>0</xdr:row>
      <xdr:rowOff>0</xdr:rowOff>
    </xdr:from>
    <xdr:to>
      <xdr:col>6</xdr:col>
      <xdr:colOff>66675</xdr:colOff>
      <xdr:row>0</xdr:row>
      <xdr:rowOff>811251</xdr:rowOff>
    </xdr:to>
    <xdr:pic>
      <xdr:nvPicPr>
        <xdr:cNvPr id="2" name="Picture 1">
          <a:extLst>
            <a:ext uri="{FF2B5EF4-FFF2-40B4-BE49-F238E27FC236}">
              <a16:creationId xmlns:a16="http://schemas.microsoft.com/office/drawing/2014/main" id="{3D0DCCE8-3C56-409E-81CF-5C6B4974A4DD}"/>
            </a:ext>
          </a:extLst>
        </xdr:cNvPr>
        <xdr:cNvPicPr>
          <a:picLocks noChangeAspect="1"/>
        </xdr:cNvPicPr>
      </xdr:nvPicPr>
      <xdr:blipFill>
        <a:blip xmlns:r="http://schemas.openxmlformats.org/officeDocument/2006/relationships" r:embed="rId1"/>
        <a:stretch>
          <a:fillRect/>
        </a:stretch>
      </xdr:blipFill>
      <xdr:spPr>
        <a:xfrm>
          <a:off x="10544175" y="0"/>
          <a:ext cx="1152525" cy="811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342901</xdr:colOff>
      <xdr:row>55</xdr:row>
      <xdr:rowOff>390525</xdr:rowOff>
    </xdr:from>
    <xdr:to>
      <xdr:col>5</xdr:col>
      <xdr:colOff>2876551</xdr:colOff>
      <xdr:row>55</xdr:row>
      <xdr:rowOff>668367</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896351" y="15868650"/>
          <a:ext cx="2533650" cy="277842"/>
        </a:xfrm>
        <a:prstGeom prst="rect">
          <a:avLst/>
        </a:prstGeom>
        <a:noFill/>
      </xdr:spPr>
    </xdr:pic>
    <xdr:clientData/>
  </xdr:twoCellAnchor>
  <xdr:twoCellAnchor editAs="oneCell">
    <xdr:from>
      <xdr:col>5</xdr:col>
      <xdr:colOff>2133600</xdr:colOff>
      <xdr:row>0</xdr:row>
      <xdr:rowOff>114300</xdr:rowOff>
    </xdr:from>
    <xdr:to>
      <xdr:col>5</xdr:col>
      <xdr:colOff>3282950</xdr:colOff>
      <xdr:row>0</xdr:row>
      <xdr:rowOff>922376</xdr:rowOff>
    </xdr:to>
    <xdr:pic>
      <xdr:nvPicPr>
        <xdr:cNvPr id="4" name="Picture 3">
          <a:extLst>
            <a:ext uri="{FF2B5EF4-FFF2-40B4-BE49-F238E27FC236}">
              <a16:creationId xmlns:a16="http://schemas.microsoft.com/office/drawing/2014/main" id="{BE280F3F-A284-4927-B72E-B26B55D7FDC3}"/>
            </a:ext>
          </a:extLst>
        </xdr:cNvPr>
        <xdr:cNvPicPr>
          <a:picLocks noChangeAspect="1"/>
        </xdr:cNvPicPr>
      </xdr:nvPicPr>
      <xdr:blipFill>
        <a:blip xmlns:r="http://schemas.openxmlformats.org/officeDocument/2006/relationships" r:embed="rId2"/>
        <a:stretch>
          <a:fillRect/>
        </a:stretch>
      </xdr:blipFill>
      <xdr:spPr>
        <a:xfrm>
          <a:off x="10896600" y="114300"/>
          <a:ext cx="1152525" cy="811251"/>
        </a:xfrm>
        <a:prstGeom prst="rect">
          <a:avLst/>
        </a:prstGeom>
      </xdr:spPr>
    </xdr:pic>
    <xdr:clientData/>
  </xdr:twoCellAnchor>
  <xdr:twoCellAnchor>
    <xdr:from>
      <xdr:col>5</xdr:col>
      <xdr:colOff>228601</xdr:colOff>
      <xdr:row>7</xdr:row>
      <xdr:rowOff>619125</xdr:rowOff>
    </xdr:from>
    <xdr:to>
      <xdr:col>5</xdr:col>
      <xdr:colOff>2705101</xdr:colOff>
      <xdr:row>7</xdr:row>
      <xdr:rowOff>896967</xdr:rowOff>
    </xdr:to>
    <xdr:pic>
      <xdr:nvPicPr>
        <xdr:cNvPr id="5" name="Picture 4">
          <a:extLst>
            <a:ext uri="{FF2B5EF4-FFF2-40B4-BE49-F238E27FC236}">
              <a16:creationId xmlns:a16="http://schemas.microsoft.com/office/drawing/2014/main" id="{82FD4A6B-9237-4259-9FF9-687EFA25285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9652001" y="9426575"/>
          <a:ext cx="2476500" cy="4792"/>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bonsucro.sharepoint.com/Shared%20Documents/3)%20Performance%20Verification/3.1%20Bonsucro%20Production%20Certification/Standard%20Revision%20Version%205/V5.0%20calculator/Version%20control%20on%20calculator%20development/SCH%20-%20Bonsucro%20Calculator_v4.1.4_ENG.xlsx?1E823D0E" TargetMode="External"/><Relationship Id="rId1" Type="http://schemas.openxmlformats.org/officeDocument/2006/relationships/externalLinkPath" Target="file:///\\1E823D0E\SCH%20-%20Bonsucro%20Calculator_v4.1.4_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put Data"/>
      <sheetName val="Output Summary"/>
      <sheetName val="BONSUCRO EU Result"/>
      <sheetName val="P5 Mill"/>
      <sheetName val="P5 Transport "/>
      <sheetName val="P5 Agric"/>
      <sheetName val="P4 Mill"/>
      <sheetName val="P4 Agric"/>
      <sheetName val="P3 Mill"/>
      <sheetName val="P3 Agric"/>
      <sheetName val="GHG emissions graph"/>
      <sheetName val="P2 Mill"/>
      <sheetName val="P2 Agric"/>
      <sheetName val="P1 Mill"/>
      <sheetName val="P1 Agric"/>
      <sheetName val="P6 Agric"/>
      <sheetName val="P6 Mill"/>
      <sheetName val="Conversion factors"/>
      <sheetName val="Conversion Table"/>
      <sheetName val="References"/>
      <sheetName val="Symbols + Abbreviations"/>
    </sheetNames>
    <sheetDataSet>
      <sheetData sheetId="0"/>
      <sheetData sheetId="1">
        <row r="7">
          <cell r="E7">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ersons/person.xml><?xml version="1.0" encoding="utf-8"?>
<personList xmlns="http://schemas.microsoft.com/office/spreadsheetml/2018/threadedcomments" xmlns:x="http://schemas.openxmlformats.org/spreadsheetml/2006/main">
  <person displayName="Chen-Wei Chang" id="{881BBE5B-24DE-4B10-BC58-55B9336E1554}" userId="Chen-Wei Chang" providerId="None"/>
  <person displayName="Nahuel Tunon" id="{D2A00205-B3C9-4216-8FC2-18364A6B9B47}" userId="nahuel@bonsucro.com" providerId="PeoplePicker"/>
  <person displayName="Chen-Wei Chang" id="{4B161756-A6F1-4810-B246-85C62E995473}" userId="chenwei@bonsucro.com" providerId="PeoplePicker"/>
  <person displayName="Nicolas Viart" id="{963B518A-BB12-4213-A3CD-213C8463EAA4}" userId="nicolas@bonsucro.com" providerId="PeoplePicker"/>
  <person displayName="Nahuel Tunon" id="{3EFF0B07-3C5B-48F9-97C3-D8A861BC8740}" userId="S::nahuel@bonsucro.com::762eea59-2dba-4731-aa74-97fa1376314b" providerId="AD"/>
  <person displayName="Chen-Wei Chang" id="{93C93D4D-B436-4061-B157-C4F8A4CAFF0B}" userId="S::chenwei@bonsucro.com::8bb25646-5cab-42f1-bf29-d5f6df6f85fa" providerId="AD"/>
  <person displayName="Nicolas Viart" id="{9A3E0469-A5F9-4931-AA55-B00640816FB4}" userId="S::nicolas@bonsucro.com::4fc95dff-3ee8-43e5-a340-48ff9341882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3" dT="2021-06-15T15:24:11.69" personId="{9A3E0469-A5F9-4931-AA55-B00640816FB4}" id="{F5DD0833-6242-4570-AFBE-21EA6944772A}">
    <text>@Chen-Wei Chang D19&gt;=20 will give a true as answer - should we rather put "COMPLIANT". Maybe you can explain me i might miss a point</text>
    <mentions>
      <mention mentionpersonId="{4B161756-A6F1-4810-B246-85C62E995473}" mentionId="{23C37289-0A3D-4131-89A1-30131831675D}" startIndex="0" length="15"/>
    </mentions>
  </threadedComment>
  <threadedComment ref="F23" dT="2021-06-16T14:04:09.79" personId="{9A3E0469-A5F9-4931-AA55-B00640816FB4}" id="{EF454CCD-85BA-4827-9800-9B61F7E55C06}" parentId="{F5DD0833-6242-4570-AFBE-21EA6944772A}">
    <text>@Chen-Wei Chang  i changed to if F18=0, "COMPLIANT" - the overall formula line 26 is checking if F20="COMPLIANT" if we leave true that wouldn't work</text>
    <mentions>
      <mention mentionpersonId="{4B161756-A6F1-4810-B246-85C62E995473}" mentionId="{C1C122DA-888F-4B6A-AD10-66EE3E4D9550}" startIndex="0" length="15"/>
    </mentions>
  </threadedComment>
  <threadedComment ref="F23" dT="2021-06-16T17:13:23.04" personId="{881BBE5B-24DE-4B10-BC58-55B9336E1554}" id="{962D4611-9D4B-4948-BD85-2FA0722D0C85}" parentId="{F5DD0833-6242-4570-AFBE-21EA6944772A}">
    <text>@Nicolas Viart Please look at text book right hand side, (In the first year of certification the operators must show the development of a TBIP + that 20% of indicators in P5 have been met.) So I suppose the first comment you made can demonstrate the criteria.</text>
    <mentions>
      <mention mentionpersonId="{963B518A-BB12-4213-A3CD-213C8463EAA4}" mentionId="{6D4563CE-91AE-4069-8FB0-FA1C15BF3BA1}" startIndex="0" length="14"/>
    </mentions>
  </threadedComment>
</ThreadedComments>
</file>

<file path=xl/threadedComments/threadedComment10.xml><?xml version="1.0" encoding="utf-8"?>
<ThreadedComments xmlns="http://schemas.microsoft.com/office/spreadsheetml/2018/threadedcomments" xmlns:x="http://schemas.openxmlformats.org/spreadsheetml/2006/main">
  <threadedComment ref="B22" dT="2021-06-16T12:33:56.05" personId="{3EFF0B07-3C5B-48F9-97C3-D8A861BC8740}" id="{F6431ED9-F18F-441C-89F1-FF82F1C5F024}">
    <text>@Chen-Wei Chang  Change title to: Appropriate personal protective equipment supplied to and used by all workers free of charge</text>
    <mentions>
      <mention mentionpersonId="{4B161756-A6F1-4810-B246-85C62E995473}" mentionId="{083D5AB9-A1EF-4402-AE2B-0C7976AB88D4}" startIndex="0" length="15"/>
    </mentions>
  </threadedComment>
  <threadedComment ref="B22" dT="2021-06-16T13:24:08.36" personId="{93C93D4D-B436-4061-B157-C4F8A4CAFF0B}" id="{8BBE2B09-6FA6-4B72-8067-FD99E6C48E66}" parentId="{F6431ED9-F18F-441C-89F1-FF82F1C5F024}">
    <text xml:space="preserve">done </text>
  </threadedComment>
  <threadedComment ref="B27" dT="2021-06-16T12:43:58.63" personId="{3EFF0B07-3C5B-48F9-97C3-D8A861BC8740}" id="{E5636D79-B10C-4823-BDA9-EE908D355D29}">
    <text>@Chen-Wei Chang  change title to: Percentage of staff trained for health and safety at start and a refresher course at least every year. </text>
    <mentions>
      <mention mentionpersonId="{4B161756-A6F1-4810-B246-85C62E995473}" mentionId="{46C68C70-D151-46D4-B244-FC2FE1BCDCC2}" startIndex="0" length="15"/>
    </mentions>
  </threadedComment>
  <threadedComment ref="B32" dT="2021-06-16T12:44:21.11" personId="{3EFF0B07-3C5B-48F9-97C3-D8A861BC8740}" id="{2D83AFFC-DDF1-4117-9665-06318F43EBE9}">
    <text>@Chen-Wei Chang  Change title to All workers have access to first aid and provision for emergency response.</text>
    <mentions>
      <mention mentionpersonId="{4B161756-A6F1-4810-B246-85C62E995473}" mentionId="{7D1A21F5-3A2E-4AE7-AFAF-277187A5F79A}" startIndex="0" length="15"/>
    </mentions>
  </threadedComment>
  <threadedComment ref="C62" dT="2021-06-07T09:17:17.80" personId="{881BBE5B-24DE-4B10-BC58-55B9336E1554}" id="{DC636CF7-975C-4EBB-B9FA-3C385B67AFCD}" done="1">
    <text>@Nicolas Viart Is that what you mention the value change to 25?</text>
    <mentions>
      <mention mentionpersonId="{963B518A-BB12-4213-A3CD-213C8463EAA4}" mentionId="{7BB0CA60-5088-464F-BED8-B6DBCFDE381B}" startIndex="0" length="14"/>
    </mentions>
  </threadedComment>
  <threadedComment ref="C62" dT="2021-06-14T10:34:58.83" personId="{9A3E0469-A5F9-4931-AA55-B00640816FB4}" id="{CA27B6D5-789F-4017-9C90-C8CF83CFB4BF}" parentId="{DC636CF7-975C-4EBB-B9FA-3C385B67AFCD}">
    <text>yes</text>
  </threadedComment>
  <threadedComment ref="B135" dT="2021-06-17T09:39:55.29" personId="{3EFF0B07-3C5B-48F9-97C3-D8A861BC8740}" id="{B2096E6F-3316-4C88-8A09-8A1D92A9A9E9}">
    <text>@Chen-Wei Chang Change indicator title to: Social Dialogue promotes consultation and information exchange between and among employers’ and workers’ organizations.</text>
    <mentions>
      <mention mentionpersonId="{4B161756-A6F1-4810-B246-85C62E995473}" mentionId="{1D27E749-A3DA-41CD-A9EA-FA32E70DB001}" startIndex="0" length="15"/>
    </mentions>
  </threadedComment>
</ThreadedComments>
</file>

<file path=xl/threadedComments/threadedComment11.xml><?xml version="1.0" encoding="utf-8"?>
<ThreadedComments xmlns="http://schemas.microsoft.com/office/spreadsheetml/2018/threadedcomments" xmlns:x="http://schemas.openxmlformats.org/spreadsheetml/2006/main">
  <threadedComment ref="B36" dT="2021-06-17T09:44:18.59" personId="{3EFF0B07-3C5B-48F9-97C3-D8A861BC8740}" id="{26883816-81D0-4477-9BFB-65F43C5A2E69}">
    <text>Missing 1.3.5 Payment for cane deliveries are made according to agreed contract.</text>
  </threadedComment>
</ThreadedComments>
</file>

<file path=xl/threadedComments/threadedComment12.xml><?xml version="1.0" encoding="utf-8"?>
<ThreadedComments xmlns="http://schemas.microsoft.com/office/spreadsheetml/2018/threadedcomments" xmlns:x="http://schemas.openxmlformats.org/spreadsheetml/2006/main">
  <threadedComment ref="F32" dT="2021-04-09T15:20:10.91" personId="{881BBE5B-24DE-4B10-BC58-55B9336E1554}" id="{65541BDF-4BDE-4F28-9489-5AE8E06633C5}" done="1">
    <text>move to scope 3</text>
  </threadedComment>
  <threadedComment ref="M48" dT="2021-02-02T05:11:29.82" personId="{93C93D4D-B436-4061-B157-C4F8A4CAFF0B}" id="{3199BF63-19F8-4DCC-AD98-AF9D7D75B711}">
    <text xml:space="preserve">@Nicolas Viart After splitting GHG emissions data into Scope 1, 2,3. If you compare the total carbon emissions with original Bonsucro calculator, it's the same (see D48 vs I48). But if you check the total emissions per sugarcane or per sugar, it is different. Please have a look pic I took right hand side. I think is we reshuffle the carbon emissions in different field (numerator), and we have different type of cane production type (unit certification and total cane proceed), once we reshuffle the numerator, then the value will be slightly different (F39 vs I39, F40 vs I40), that's my opinion, what do you think ?  </text>
    <mentions>
      <mention mentionpersonId="{963B518A-BB12-4213-A3CD-213C8463EAA4}" mentionId="{C8EEA589-C302-4850-A93A-6CC5381CB514}" startIndex="0" length="14"/>
    </mentions>
  </threadedComment>
</ThreadedComments>
</file>

<file path=xl/threadedComments/threadedComment13.xml><?xml version="1.0" encoding="utf-8"?>
<ThreadedComments xmlns="http://schemas.microsoft.com/office/spreadsheetml/2018/threadedcomments" xmlns:x="http://schemas.openxmlformats.org/spreadsheetml/2006/main">
  <threadedComment ref="F3" dT="2021-02-02T11:54:02.90" personId="{9A3E0469-A5F9-4931-AA55-B00640816FB4}" id="{2CDE3A3D-49A7-4161-BE3A-E40ADAACA13A}">
    <text>@Chen-Wei Chang  we'll need to check with the EU consultant if this value is updated to the latest EU RED legislation!</text>
    <mentions>
      <mention mentionpersonId="{4B161756-A6F1-4810-B246-85C62E995473}" mentionId="{F1A09E86-A2C2-47E0-A6FB-557AC6AD9296}" startIndex="0" length="15"/>
    </mentions>
  </threadedComment>
  <threadedComment ref="C26" dT="2020-12-18T07:29:33.80" personId="{881BBE5B-24DE-4B10-BC58-55B9336E1554}" id="{D4200257-9364-4E8A-AE89-7F377DC21044}">
    <text>remove *1/C8</text>
  </threadedComment>
  <threadedComment ref="G26" dT="2021-01-11T05:18:51.25" personId="{881BBE5B-24DE-4B10-BC58-55B9336E1554}" id="{D4A7DA5A-9330-4F2A-A61F-7886FEBEA490}">
    <text>change unit from g CO2/MJ fuel/year to g CO2/year</text>
  </threadedComment>
  <threadedComment ref="G28" dT="2021-01-11T05:18:51.25" personId="{881BBE5B-24DE-4B10-BC58-55B9336E1554}" id="{4B235F9B-2E77-4A6D-AEE1-88247343981E}">
    <text>change unit from g CO2/MJ fuel/year to g CO2/year</text>
  </threadedComment>
  <threadedComment ref="C29" dT="2021-01-27T07:30:29.36" personId="{881BBE5B-24DE-4B10-BC58-55B9336E1554}" id="{0ABB10CD-9A41-4EE2-9EA9-AD4DE213337E}">
    <text>Change C29 equation from 
=IF(C12="",14,C28+14)
To 
IF(C12="",14*1/C8,C28*1/C8+14*1/C8)</text>
  </threadedComment>
  <threadedComment ref="C29" dT="2021-02-02T14:04:06.31" personId="{9A3E0469-A5F9-4931-AA55-B00640816FB4}" id="{C71144F5-45C5-4C3F-B718-9739A193D2EC}" parentId="{0ABB10CD-9A41-4EE2-9EA9-AD4DE213337E}">
    <text>@Chen-Wei Chang  I don't think we should added *1/8 to the 14. 14 is the default emission for cane production expressed in gCO2/MJ</text>
    <mentions>
      <mention mentionpersonId="{4B161756-A6F1-4810-B246-85C62E995473}" mentionId="{73D078FC-E27C-4425-90AF-758C440D691C}" startIndex="0" length="15"/>
    </mentions>
  </threadedComment>
  <threadedComment ref="C55" dT="2020-12-18T07:29:33.80" personId="{881BBE5B-24DE-4B10-BC58-55B9336E1554}" id="{DABE2DA0-AB22-4B85-9CD1-680D33B76E3F}">
    <text>remove *1/C8</text>
  </threadedComment>
  <threadedComment ref="G55" dT="2021-01-11T05:18:51.25" personId="{881BBE5B-24DE-4B10-BC58-55B9336E1554}" id="{F96AA959-4831-4C3C-976A-9177464191FE}">
    <text>change unit from g CO2/MJ fuel/year to g CO2/year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J5" dT="2021-06-17T11:26:26.83" personId="{881BBE5B-24DE-4B10-BC58-55B9336E1554}" id="{0854D008-A468-4473-817F-BD47517E51FF}">
    <text>@Nicolas Viart @Nahuel Tunon We need to check that are these correct information for "Total production" and "Certifiable production only" these two columns.</text>
    <mentions>
      <mention mentionpersonId="{963B518A-BB12-4213-A3CD-213C8463EAA4}" mentionId="{5BB9E5E3-0572-4E29-8207-1C599DB6D72B}" startIndex="0" length="14"/>
      <mention mentionpersonId="{D2A00205-B3C9-4216-8FC2-18364A6B9B47}" mentionId="{62858CB0-EAF1-48A8-9989-5D1F827866F5}" startIndex="15" length="13"/>
    </mentions>
  </threadedComment>
  <threadedComment ref="H7" dT="2021-06-02T15:42:40.28" personId="{9A3E0469-A5F9-4931-AA55-B00640816FB4}" id="{2F0BE31F-165C-45CF-ABBF-44F54C33D635}">
    <text>@Chen-Wei Chang i would say - If initial certification please fill 0, if you have been certified for 1 year, enter 1 and so on. If you are already certified, start from when you implemented the new standard (1st audit with the updated standard, please fill 0, after 1 year of using the new standard enter 1)
@Nahuel Tunon does it make sense?</text>
    <mentions>
      <mention mentionpersonId="{4B161756-A6F1-4810-B246-85C62E995473}" mentionId="{043D2699-0A46-41F7-8B81-DB9A65647674}" startIndex="0" length="15"/>
      <mention mentionpersonId="{D2A00205-B3C9-4216-8FC2-18364A6B9B47}" mentionId="{79387086-DE1B-43F3-980E-43A1800BF718}" startIndex="308" length="13"/>
    </mentions>
  </threadedComment>
  <threadedComment ref="H7" dT="2021-06-03T09:17:52.12" personId="{881BBE5B-24DE-4B10-BC58-55B9336E1554}" id="{062CB6B1-E229-4AB0-A832-B0CD93DB1D00}" parentId="{2F0BE31F-165C-45CF-ABBF-44F54C33D635}">
    <text>@Nicolas Viart You mean the rule following what we did in Power BI dashboard ? If so, we may need to draw a chart to let user easy to follow.</text>
    <mentions>
      <mention mentionpersonId="{963B518A-BB12-4213-A3CD-213C8463EAA4}" mentionId="{F2BCABC4-ED14-4277-9322-AF59029A728C}" startIndex="0" length="14"/>
    </mentions>
  </threadedComment>
  <threadedComment ref="H7" dT="2021-06-03T09:53:02.09" personId="{9A3E0469-A5F9-4931-AA55-B00640816FB4}" id="{97C43F3B-6E1A-4A29-AFC6-430F2F13DD44}" parentId="{2F0BE31F-165C-45CF-ABBF-44F54C33D635}">
    <text>@Chen-Wei Chang it's an adapation of the rules we used for power BI dashboard (this one doesn't change). Here I think we need to take into account that mills that have already been certified for x years, will still benefit from the implementation windows of the new standard. If a mill has been certified for 7 years and enter 7 here, all indicators will apply immediately without benefiting from 3 or 5 year implementation period for some of them (e.g. max hours of work)</text>
    <mentions>
      <mention mentionpersonId="{4B161756-A6F1-4810-B246-85C62E995473}" mentionId="{8870D764-8746-4DA7-B1E5-CEE716DC7AAF}" startIndex="0" length="15"/>
    </mentions>
  </threadedComment>
  <threadedComment ref="H7" dT="2021-06-16T14:07:18.61" personId="{9A3E0469-A5F9-4931-AA55-B00640816FB4}" id="{23FD75C1-AFE5-4DA1-AE41-97FC4A9B7569}" parentId="{2F0BE31F-165C-45CF-ABBF-44F54C33D635}">
    <text>@Nahuel Tunon  do you think the text is clear?</text>
    <mentions>
      <mention mentionpersonId="{D2A00205-B3C9-4216-8FC2-18364A6B9B47}" mentionId="{4B291198-A8ED-4E2A-B230-5E8E3C315F73}" startIndex="0" length="13"/>
    </mentions>
  </threadedComment>
  <threadedComment ref="D201" dT="2021-06-22T16:16:49.84" personId="{3EFF0B07-3C5B-48F9-97C3-D8A861BC8740}" id="{A328BFB1-71C6-4567-9A0D-B18A0320FADD}">
    <text xml:space="preserve">@Chen-Wei Chang  should add or 2022 if already certified </text>
    <mentions>
      <mention mentionpersonId="{4B161756-A6F1-4810-B246-85C62E995473}" mentionId="{D7513C32-E4FE-4878-9355-1A396AB85270}" startIndex="0" length="15"/>
    </mentions>
  </threadedComment>
  <threadedComment ref="D208" dT="2021-06-22T16:20:15.20" personId="{3EFF0B07-3C5B-48F9-97C3-D8A861BC8740}" id="{5CD0E57B-255A-4FFE-B77E-AFA45B5610D9}">
    <text xml:space="preserve">@Chen-Wei Chang  @Nicolas Viart  is this one line or 2? </text>
    <mentions>
      <mention mentionpersonId="{4B161756-A6F1-4810-B246-85C62E995473}" mentionId="{8E1DD913-389A-4AC4-B1C9-D1E5FCA0301F}" startIndex="0" length="15"/>
      <mention mentionpersonId="{963B518A-BB12-4213-A3CD-213C8463EAA4}" mentionId="{B60A7570-FC18-41C1-8007-C433737FA334}" startIndex="17" length="14"/>
    </mentions>
  </threadedComment>
  <threadedComment ref="D208" dT="2021-06-22T16:55:48.68" personId="{93C93D4D-B436-4061-B157-C4F8A4CAFF0B}" id="{9EC8F354-3501-4C2F-B2BA-AC94C58CA8F6}" parentId="{5CD0E57B-255A-4FFE-B77E-AFA45B5610D9}">
    <text xml:space="preserve">@Nahuel Tunon Originally it was one line, but I suppose it should be two, so I will change two. </text>
    <mentions>
      <mention mentionpersonId="{D2A00205-B3C9-4216-8FC2-18364A6B9B47}" mentionId="{AFDCA131-ECEC-40AF-BD50-04CF26F32752}" startIndex="0" length="13"/>
    </mentions>
  </threadedComment>
  <threadedComment ref="B276" dT="2021-06-16T14:10:37.30" personId="{9A3E0469-A5F9-4931-AA55-B00640816FB4}" id="{4444AF45-A84B-49E8-9384-8F737CC06E20}">
    <text>@Chen-Wei Chang  we can delete that one and 263 - check if no impact somewhere else</text>
    <mentions>
      <mention mentionpersonId="{4B161756-A6F1-4810-B246-85C62E995473}" mentionId="{CAA43CBD-4FDB-4A8C-AADA-67FC87E21C71}" startIndex="0" length="15"/>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80" dT="2021-06-15T09:49:12.90" personId="{9A3E0469-A5F9-4931-AA55-B00640816FB4}" id="{1A253FCC-130E-4AFF-916E-8E6BAD9667D4}" done="1">
    <text>@Chen-Wei Chang  do you want to discuss before deleting the indicators below?</text>
    <mentions>
      <mention mentionpersonId="{4B161756-A6F1-4810-B246-85C62E995473}" mentionId="{C1034B50-7E39-4CE7-8CE6-D733993A3E9E}" startIndex="0" length="15"/>
    </mentions>
  </threadedComment>
  <threadedComment ref="A80" dT="2021-06-15T11:00:09.40" personId="{93C93D4D-B436-4061-B157-C4F8A4CAFF0B}" id="{02C1438C-DCA8-4CC5-A0DE-E3AA37022084}" parentId="{1A253FCC-130E-4AFF-916E-8E6BAD9667D4}">
    <text xml:space="preserve">@Nicolas Viart Yes, it would be great. As some old indicators linked to some input data that we may need to remove it, but it maybe useful to keep some for extra information. </text>
    <mentions>
      <mention mentionpersonId="{963B518A-BB12-4213-A3CD-213C8463EAA4}" mentionId="{43A69634-E82B-4795-A94B-7BFBD16B3B5F}" startIndex="0" length="14"/>
    </mentions>
  </threadedComment>
  <threadedComment ref="A80" dT="2021-06-15T14:54:47.29" personId="{9A3E0469-A5F9-4931-AA55-B00640816FB4}" id="{7AD29C8B-F8DA-4417-B979-71BCB3D77CA6}" parentId="{1A253FCC-130E-4AFF-916E-8E6BAD9667D4}">
    <text>@Chen-Wei Chang  i would keep the input data and just delete the intermediary calculation in the Px tabs</text>
    <mentions>
      <mention mentionpersonId="{4B161756-A6F1-4810-B246-85C62E995473}" mentionId="{5FB614F4-2181-4E40-A084-882E96DAA27D}" startIndex="0" length="15"/>
    </mentions>
  </threadedComment>
  <threadedComment ref="A80" dT="2021-06-15T16:56:05.01" personId="{93C93D4D-B436-4061-B157-C4F8A4CAFF0B}" id="{88B7C8A2-9CD4-4CA5-88F0-A9A4FB2264D2}" parentId="{1A253FCC-130E-4AFF-916E-8E6BAD9667D4}">
    <text xml:space="preserve">@Nicolas Viart No problem, and I will keep and put these input data into "Extra information provided for data analysis only" area in the bottom of input data tab. </text>
    <mentions>
      <mention mentionpersonId="{963B518A-BB12-4213-A3CD-213C8463EAA4}" mentionId="{0EA439D7-7B3A-4B4B-AB54-7061188BB103}" startIndex="0" length="14"/>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C87" dT="2021-03-10T04:30:29.35" personId="{881BBE5B-24DE-4B10-BC58-55B9336E1554}" id="{B0EE48D9-A62C-4208-909D-6AEC2C798DDB}" done="1">
    <text>need formula !!</text>
  </threadedComment>
</ThreadedComments>
</file>

<file path=xl/threadedComments/threadedComment5.xml><?xml version="1.0" encoding="utf-8"?>
<ThreadedComments xmlns="http://schemas.microsoft.com/office/spreadsheetml/2018/threadedcomments" xmlns:x="http://schemas.openxmlformats.org/spreadsheetml/2006/main">
  <threadedComment ref="B32" dT="2021-06-15T11:15:50.54" personId="{3EFF0B07-3C5B-48F9-97C3-D8A861BC8740}" id="{2090CB6A-6993-4DC1-8BCB-1A64D7A35BB1}" done="1">
    <text>@Nicolas Viart  @Chen-Wei Chang  4.1.5 Percentage of greenfield expansion or new sugarcane project covered by ESIA </text>
    <mentions>
      <mention mentionpersonId="{963B518A-BB12-4213-A3CD-213C8463EAA4}" mentionId="{70D74EB4-17D2-4100-9BD0-4D87EC8D483C}" startIndex="0" length="14"/>
      <mention mentionpersonId="{4B161756-A6F1-4810-B246-85C62E995473}" mentionId="{301A82CC-4143-47F0-8B0E-CA83C93DE27C}" startIndex="16" length="15"/>
    </mentions>
  </threadedComment>
  <threadedComment ref="B32" dT="2021-06-15T11:17:02.81" personId="{3EFF0B07-3C5B-48F9-97C3-D8A861BC8740}" id="{5B1BC3D6-2FF3-4AB8-AEB6-6C2606532E73}" parentId="{2090CB6A-6993-4DC1-8BCB-1A64D7A35BB1}">
    <text>There is one indicator too many</text>
  </threadedComment>
  <threadedComment ref="B32" dT="2021-06-16T12:24:17.62" personId="{9A3E0469-A5F9-4931-AA55-B00640816FB4}" id="{7C0E2935-A126-464B-B8AD-E6EE0E5EBBF9}" parentId="{2090CB6A-6993-4DC1-8BCB-1A64D7A35BB1}">
    <text>it's the only one that mentions ESIA</text>
  </threadedComment>
  <threadedComment ref="C194" dT="2021-03-10T04:30:29.35" personId="{881BBE5B-24DE-4B10-BC58-55B9336E1554}" id="{7EF961F8-5032-4E15-A1ED-79F1F0D62B0D}" done="1">
    <text>need formula !!</text>
  </threadedComment>
  <threadedComment ref="C194" dT="2021-06-16T12:33:45.37" personId="{9A3E0469-A5F9-4931-AA55-B00640816FB4}" id="{15E5B16D-1EF0-4E5F-92BB-9FB9DFD47993}" parentId="{7EF961F8-5032-4E15-A1ED-79F1F0D62B0D}">
    <text>@Chen-Wei Chang  i added one</text>
    <mentions>
      <mention mentionpersonId="{4B161756-A6F1-4810-B246-85C62E995473}" mentionId="{0149354F-5F2D-47EB-933E-E0DC6CAD265E}" startIndex="0" length="15"/>
    </mentions>
  </threadedComment>
</ThreadedComments>
</file>

<file path=xl/threadedComments/threadedComment6.xml><?xml version="1.0" encoding="utf-8"?>
<ThreadedComments xmlns="http://schemas.microsoft.com/office/spreadsheetml/2018/threadedcomments" xmlns:x="http://schemas.openxmlformats.org/spreadsheetml/2006/main">
  <threadedComment ref="B25" dT="2021-06-16T11:52:52.45" personId="{3EFF0B07-3C5B-48F9-97C3-D8A861BC8740}" id="{77CBE05A-B4CA-44E6-96F0-FF6AB3F9D04F}">
    <text xml:space="preserve">@Chen-Wei Chang  @Nicolas Viart  Efficiency of harvesting operations is missing. </text>
    <mentions>
      <mention mentionpersonId="{4B161756-A6F1-4810-B246-85C62E995473}" mentionId="{6AE9AF66-B485-4C51-9388-409028A4FB5E}" startIndex="0" length="15"/>
      <mention mentionpersonId="{963B518A-BB12-4213-A3CD-213C8463EAA4}" mentionId="{BBCD45AA-F387-4D96-9F43-761B9220FA2C}" startIndex="17" length="14"/>
    </mentions>
  </threadedComment>
  <threadedComment ref="B25" dT="2021-06-16T13:13:43.93" personId="{93C93D4D-B436-4061-B157-C4F8A4CAFF0B}" id="{AFEE3369-E376-4DE6-A16B-DA6A358973E0}" parentId="{77CBE05A-B4CA-44E6-96F0-FF6AB3F9D04F}">
    <text xml:space="preserve">@Nahuel Tunon The scope of 3.1.4 Efficiency of harvesting operations is in agri based on "Change to Cert Protocol.xlsx" </text>
    <mentions>
      <mention mentionpersonId="{D2A00205-B3C9-4216-8FC2-18364A6B9B47}" mentionId="{98EFC7EF-989B-42D5-A3A5-694A3ADF95C4}" startIndex="0" length="13"/>
    </mentions>
  </threadedComment>
  <threadedComment ref="B25" dT="2021-06-18T12:57:13.65" personId="{9A3E0469-A5F9-4931-AA55-B00640816FB4}" id="{07B8CE85-D60E-458E-92A1-31ECA9A99C84}" parentId="{77CBE05A-B4CA-44E6-96F0-FF6AB3F9D04F}">
    <text>@Nahuel Tunon  we've included in the inconsistency document that it should only apply to mill (as last operation is at mill, they are the one that should be evaluated) - do you agree?</text>
    <mentions>
      <mention mentionpersonId="{D2A00205-B3C9-4216-8FC2-18364A6B9B47}" mentionId="{E7DF089D-E0FD-4EFE-AD3F-1B92C046A0F8}" startIndex="0" length="13"/>
    </mentions>
  </threadedComment>
  <threadedComment ref="C181" dT="2021-03-12T06:36:51.48" personId="{881BBE5B-24DE-4B10-BC58-55B9336E1554}" id="{CAE2A929-4F67-4539-8193-F21557290920}" done="1">
    <text>Now, we change from energy allocation to economic allocation</text>
  </threadedComment>
  <threadedComment ref="A204" dT="2020-11-09T15:13:13.42" personId="{881BBE5B-24DE-4B10-BC58-55B9336E1554}" id="{FD70AA6D-810A-4258-871E-7FE0089CA194}">
    <text>changed from company data 5.4.1 to company data 3.2.5</text>
  </threadedComment>
  <threadedComment ref="C240" dT="2020-11-09T15:36:16.55" personId="{881BBE5B-24DE-4B10-BC58-55B9336E1554}" id="{B421E7BC-1070-4720-B387-53FF16459164}">
    <text>Change to link (inputdataE145+E146) directly to simplify data flow</text>
  </threadedComment>
  <threadedComment ref="C384" dT="2020-11-09T16:09:59.40" personId="{881BBE5B-24DE-4B10-BC58-55B9336E1554}" id="{A892C318-FF89-4CED-A51A-B1D123FEAFFA}">
    <text>link inputdata(E15+E16*0.791
+E17+E18+E19+E20) directly to simplify data flow</text>
  </threadedComment>
  <threadedComment ref="C418" dT="2020-11-16T16:21:39.03" personId="{881BBE5B-24DE-4B10-BC58-55B9336E1554}" id="{BEE5D80C-CC99-4FB7-89FF-6DB550CE0951}">
    <text>it is a temporary value</text>
  </threadedComment>
  <threadedComment ref="C425" dT="2021-04-15T09:41:32.55" personId="{881BBE5B-24DE-4B10-BC58-55B9336E1554}" id="{FAFB773D-63E1-4D40-96FB-8CF21B0FB0F1}">
    <text>put energy allocation in Ethanol production and electricity export</text>
  </threadedComment>
  <threadedComment ref="C426" dT="2021-04-15T09:46:07.68" personId="{9A3E0469-A5F9-4931-AA55-B00640816FB4}" id="{00E35F66-0E1A-4C05-AF6F-28050BC5CE68}">
    <text xml:space="preserve">we will try 2 ways of calculating:
- ethOH production and electricity export (to do this you need to allocated the energy input to the production of ethanol and export of electricity)
</text>
  </threadedComment>
</ThreadedComments>
</file>

<file path=xl/threadedComments/threadedComment7.xml><?xml version="1.0" encoding="utf-8"?>
<ThreadedComments xmlns="http://schemas.microsoft.com/office/spreadsheetml/2018/threadedcomments" xmlns:x="http://schemas.openxmlformats.org/spreadsheetml/2006/main">
  <threadedComment ref="A2" dT="2021-06-16T11:56:18.51" personId="{3EFF0B07-3C5B-48F9-97C3-D8A861BC8740}" id="{A2188A2E-67AD-41C5-B167-AAF4CE7764DF}">
    <text xml:space="preserve">Text is missing in this top line @Chen-Wei Chang  @Nicolas Viart </text>
    <mentions>
      <mention mentionpersonId="{4B161756-A6F1-4810-B246-85C62E995473}" mentionId="{2950D3DC-C842-442A-ABDB-5F7EA7AC8A81}" startIndex="33" length="15"/>
      <mention mentionpersonId="{963B518A-BB12-4213-A3CD-213C8463EAA4}" mentionId="{09DB3F0D-2EE4-4278-BF71-BEC29FD6D720}" startIndex="50" length="14"/>
    </mentions>
  </threadedComment>
  <threadedComment ref="A3" dT="2021-06-16T11:56:33.72" personId="{3EFF0B07-3C5B-48F9-97C3-D8A861BC8740}" id="{15FAEF87-62FB-40AD-BF83-FB35F2049ECD}">
    <text xml:space="preserve">@Chen-Wei Chang  Criterion is missing </text>
    <mentions>
      <mention mentionpersonId="{4B161756-A6F1-4810-B246-85C62E995473}" mentionId="{28C9B8DE-B402-4FBD-9D17-8638EE512815}" startIndex="0" length="15"/>
    </mentions>
  </threadedComment>
  <threadedComment ref="A18" dT="2021-06-16T11:57:01.76" personId="{3EFF0B07-3C5B-48F9-97C3-D8A861BC8740}" id="{EA53E962-B9D2-4B8A-8F3B-746AF42A9263}">
    <text xml:space="preserve">Missing info @Chen-Wei Chang </text>
    <mentions>
      <mention mentionpersonId="{4B161756-A6F1-4810-B246-85C62E995473}" mentionId="{59BA6A33-C833-424A-959A-00C6F00F2A57}" startIndex="13" length="15"/>
    </mentions>
  </threadedComment>
  <threadedComment ref="B18" dT="2021-06-16T11:57:30.16" personId="{3EFF0B07-3C5B-48F9-97C3-D8A861BC8740}" id="{BA539F30-721F-4370-A207-9A53688C2BB0}">
    <text xml:space="preserve">@Chen-Wei Chang  Change name to Yield of production </text>
    <mentions>
      <mention mentionpersonId="{4B161756-A6F1-4810-B246-85C62E995473}" mentionId="{9962BD0A-EA35-4BFC-96A0-E5CEE3BBE83B}" startIndex="0" length="15"/>
    </mentions>
  </threadedComment>
  <threadedComment ref="C74" dT="2021-03-09T02:34:56.59" personId="{881BBE5B-24DE-4B10-BC58-55B9336E1554}" id="{B99F32E7-A889-4C8E-B679-A4F7DB49B773}">
    <text>waiting for details of calculation</text>
  </threadedComment>
  <threadedComment ref="C141" dT="2021-01-26T07:24:11.08" personId="{881BBE5B-24DE-4B10-BC58-55B9336E1554}" id="{A68F9CEE-F723-4B3C-A9DB-A0E13A0D210F}">
    <text>NEED TO FIND EMISSION FACTOR</text>
  </threadedComment>
  <threadedComment ref="C148" dT="2021-01-26T07:22:33.05" personId="{881BBE5B-24DE-4B10-BC58-55B9336E1554}" id="{68B07DBE-FDE0-477C-9654-5DA500CC5B95}">
    <text>It gives fixed number now here, will put it in coversion factors table later</text>
  </threadedComment>
  <threadedComment ref="C211" dT="2021-01-27T07:39:57.29" personId="{881BBE5B-24DE-4B10-BC58-55B9336E1554}" id="{BC684402-DA3C-44FA-AAB1-88D346BCE0F8}">
    <text>add aerial spraying emission(C109) into sum</text>
  </threadedComment>
  <threadedComment ref="C214" dT="2021-01-27T07:32:03.10" personId="{881BBE5B-24DE-4B10-BC58-55B9336E1554}" id="{8F74714D-2AD0-4781-AF27-910C3E786DDB}">
    <text>In P3 Agri, C173, link P6 Agri C31 (g CO2/ha/year) and divided by 1000000 to match the unit in P3 Agri C160 (t CO2eq/ha/year)</text>
  </threadedComment>
  <threadedComment ref="C214" dT="2021-02-02T19:18:25.16" personId="{9A3E0469-A5F9-4931-AA55-B00640816FB4}" id="{385995C2-CDB6-4D45-B57C-A7444E43A675}" parentId="{8F74714D-2AD0-4781-AF27-910C3E786DDB}">
    <text>in EU RED we allocate the LUC to the whole production (14+LUC emission: become the GHG of the whole EU RED ethanol). Here we "dilute" the GHG emissions from LUC to the whole production. If we follow that principle we would need to add 82.2 kg CO2/T to the GHG coming from agriculture. we need to search what best practice is!</text>
  </threadedComment>
  <threadedComment ref="B221" dT="2021-06-16T12:00:28.67" personId="{3EFF0B07-3C5B-48F9-97C3-D8A861BC8740}" id="{6211B458-633E-4E1A-A233-B866C8DDF82F}">
    <text xml:space="preserve">@Nicolas Viart  @Chen-Wei Chang  Indicator on GHG of Sugar and GHG of Ethanol in the current standard apply to both the farm and the mill and they do so in the draft as well. Should they only apply to the mill? </text>
    <mentions>
      <mention mentionpersonId="{963B518A-BB12-4213-A3CD-213C8463EAA4}" mentionId="{129FA363-E217-44B6-A433-4F2AA3F7B593}" startIndex="0" length="14"/>
      <mention mentionpersonId="{4B161756-A6F1-4810-B246-85C62E995473}" mentionId="{B9A806AB-AC0C-42E8-B66A-4CBD9382C9BC}" startIndex="16" length="15"/>
    </mentions>
  </threadedComment>
  <threadedComment ref="B221" dT="2021-06-16T12:13:48.92" personId="{9A3E0469-A5F9-4931-AA55-B00640816FB4}" id="{B5599D60-1462-4B0A-ACEE-1965D69E18BD}" parentId="{6211B458-633E-4E1A-A233-B866C8DDF82F}">
    <text>@Nahuel Tunon we need to amend - we have 3.2.2 for the farm, 3.2.3 for the mill (the tricky part is that some farm data are needed to calculate 3.2.3, but compliance should only be affecting the mill result). I'll it to the inconsistency doc</text>
    <mentions>
      <mention mentionpersonId="{D2A00205-B3C9-4216-8FC2-18364A6B9B47}" mentionId="{A76417E0-CFD7-4063-9525-5425D88C915C}" startIndex="0" length="13"/>
    </mentions>
  </threadedComment>
  <threadedComment ref="C286" dT="2021-01-27T07:59:26.69" personId="{881BBE5B-24DE-4B10-BC58-55B9336E1554}" id="{6F7DEBB1-D0E1-4439-BEF6-0C61509DF619}">
    <text>Add energy consumption of aerial spraying(C230) into total energy consumption of Agricultural phase (C243)</text>
  </threadedComment>
</ThreadedComments>
</file>

<file path=xl/threadedComments/threadedComment8.xml><?xml version="1.0" encoding="utf-8"?>
<ThreadedComments xmlns="http://schemas.microsoft.com/office/spreadsheetml/2018/threadedcomments" xmlns:x="http://schemas.openxmlformats.org/spreadsheetml/2006/main">
  <threadedComment ref="A1" dT="2021-02-02T19:19:50.96" personId="{9A3E0469-A5F9-4931-AA55-B00640816FB4}" id="{A9FCF9E7-EE37-4915-BB18-7BA5F2E66A81}">
    <text>@Chen-Wei Chang we will be able to remove this tab i think</text>
    <mentions>
      <mention mentionpersonId="{4B161756-A6F1-4810-B246-85C62E995473}" mentionId="{C9554029-EE6C-4E0C-88CA-F2A4DB52F013}" startIndex="0" length="15"/>
    </mentions>
  </threadedComment>
</ThreadedComments>
</file>

<file path=xl/threadedComments/threadedComment9.xml><?xml version="1.0" encoding="utf-8"?>
<ThreadedComments xmlns="http://schemas.microsoft.com/office/spreadsheetml/2018/threadedcomments" xmlns:x="http://schemas.openxmlformats.org/spreadsheetml/2006/main">
  <threadedComment ref="B3" dT="2021-06-16T12:04:03.66" personId="{3EFF0B07-3C5B-48F9-97C3-D8A861BC8740}" id="{E5B73AA1-528A-4172-9323-EA1385DEB37C}">
    <text>@Chen-Wei Chang  Change title to: Main health and safety hazards and risks are identified, documented, assessed, communicated to workers, and mitigated.</text>
    <mentions>
      <mention mentionpersonId="{4B161756-A6F1-4810-B246-85C62E995473}" mentionId="{8711C9AA-5157-4889-888B-D29870908E2B}" startIndex="0" length="15"/>
    </mentions>
  </threadedComment>
  <threadedComment ref="B3" dT="2021-06-16T13:17:55.17" personId="{93C93D4D-B436-4061-B157-C4F8A4CAFF0B}" id="{E5770A65-D2DA-4FE2-926D-3940CFF12803}" parentId="{E5B73AA1-528A-4172-9323-EA1385DEB37C}">
    <text xml:space="preserve">done </text>
  </threadedComment>
  <threadedComment ref="B22" dT="2021-06-16T12:04:46.80" personId="{3EFF0B07-3C5B-48F9-97C3-D8A861BC8740}" id="{39347B28-E47C-457A-87AC-1D0AE209ED3B}">
    <text>Change title to: Appropriate personal protective equipment supplied to and used by all workers free of charge.</text>
  </threadedComment>
  <threadedComment ref="B29" dT="2021-06-16T12:05:10.11" personId="{3EFF0B07-3C5B-48F9-97C3-D8A861BC8740}" id="{51C973DC-09B3-4E95-AB0D-2C9522EF7F46}">
    <text>@Chen-Wei Chang  Change title to: Percentage of staff trained for health and safety at start and a refresher course at least every year. </text>
    <mentions>
      <mention mentionpersonId="{4B161756-A6F1-4810-B246-85C62E995473}" mentionId="{8207B0C7-CB38-43B5-AE85-E293F0716E65}" startIndex="0" length="15"/>
    </mentions>
  </threadedComment>
  <threadedComment ref="B32" dT="2021-06-16T12:44:59.21" personId="{3EFF0B07-3C5B-48F9-97C3-D8A861BC8740}" id="{89E9C860-7A65-4E5B-9233-29E38CCD8605}">
    <text>@Chen-Wei Chang  Change title to: All workers have access to first aid and provision for emergency response.</text>
    <mentions>
      <mention mentionpersonId="{4B161756-A6F1-4810-B246-85C62E995473}" mentionId="{96F276EC-08CD-43C6-90B9-C9D7ABC023AE}" startIndex="0" length="15"/>
    </mentions>
  </threadedComment>
  <threadedComment ref="B142" dT="2021-06-16T12:32:55.63" personId="{3EFF0B07-3C5B-48F9-97C3-D8A861BC8740}" id="{E9BB30B9-3C13-4EFD-ABF3-CBA2592503E4}">
    <text>@Chen-Wei Chang  Change title to: Social Dialogue promotes consultation and information exchange between and among employers’ and workers’ organizations.</text>
    <mentions>
      <mention mentionpersonId="{4B161756-A6F1-4810-B246-85C62E995473}" mentionId="{1AEC3958-ED5C-4195-B8D9-6D294A162A70}" startIndex="0" length="15"/>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 Id="rId4" Type="http://schemas.microsoft.com/office/2017/10/relationships/threadedComment" Target="../threadedComments/threadedComment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 Id="rId4" Type="http://schemas.microsoft.com/office/2017/10/relationships/threadedComment" Target="../threadedComments/threadedComment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 Id="rId4" Type="http://schemas.microsoft.com/office/2017/10/relationships/threadedComment" Target="../threadedComments/threadedComment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 Id="rId4" Type="http://schemas.microsoft.com/office/2017/10/relationships/threadedComment" Target="../threadedComments/threadedComment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8.bin"/><Relationship Id="rId5" Type="http://schemas.microsoft.com/office/2017/10/relationships/threadedComment" Target="../threadedComments/threadedComment12.xml"/><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9.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hyperlink" Target="http://www.xe.com/" TargetMode="Externa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G117"/>
  <sheetViews>
    <sheetView showGridLines="0" zoomScaleNormal="100" workbookViewId="0">
      <selection activeCell="D114" sqref="D114"/>
    </sheetView>
  </sheetViews>
  <sheetFormatPr defaultRowHeight="15" x14ac:dyDescent="0.25"/>
  <cols>
    <col min="1" max="1" width="9.140625" style="607"/>
    <col min="2" max="2" width="13.7109375" customWidth="1"/>
    <col min="3" max="3" width="13.42578125" customWidth="1"/>
    <col min="4" max="4" width="95.140625" bestFit="1" customWidth="1"/>
    <col min="5" max="5" width="12.42578125" customWidth="1"/>
  </cols>
  <sheetData>
    <row r="1" spans="1:7" s="607" customFormat="1" ht="55.5" customHeight="1" x14ac:dyDescent="0.3">
      <c r="A1" s="692"/>
      <c r="B1" s="636"/>
      <c r="C1" s="658" t="s">
        <v>0</v>
      </c>
      <c r="D1" s="657"/>
      <c r="E1" s="657"/>
      <c r="F1" s="657"/>
      <c r="G1" s="165"/>
    </row>
    <row r="2" spans="1:7" s="607" customFormat="1" ht="24" thickBot="1" x14ac:dyDescent="0.35">
      <c r="A2" s="692"/>
      <c r="B2" s="636"/>
      <c r="C2" s="1424" t="s">
        <v>1</v>
      </c>
      <c r="D2" s="1424"/>
      <c r="E2" s="1424"/>
      <c r="F2" s="1424"/>
      <c r="G2" s="165"/>
    </row>
    <row r="3" spans="1:7" s="607" customFormat="1" ht="24" thickBot="1" x14ac:dyDescent="0.3">
      <c r="A3" s="362" t="s">
        <v>2</v>
      </c>
      <c r="B3" s="362" t="s">
        <v>3</v>
      </c>
      <c r="C3" s="362" t="s">
        <v>4</v>
      </c>
      <c r="D3" s="194" t="s">
        <v>5</v>
      </c>
      <c r="E3" s="194" t="s">
        <v>6</v>
      </c>
      <c r="F3" s="1419"/>
      <c r="G3" s="165"/>
    </row>
    <row r="4" spans="1:7" s="607" customFormat="1" x14ac:dyDescent="0.25">
      <c r="A4" s="671">
        <v>4.01</v>
      </c>
      <c r="B4" s="671"/>
      <c r="C4" s="671"/>
      <c r="D4" s="671"/>
      <c r="E4" s="672">
        <v>41918</v>
      </c>
      <c r="F4" s="692"/>
      <c r="G4" s="692"/>
    </row>
    <row r="5" spans="1:7" s="607" customFormat="1" x14ac:dyDescent="0.25">
      <c r="A5" s="710">
        <v>4.0199999999999996</v>
      </c>
      <c r="B5" s="710"/>
      <c r="C5" s="710"/>
      <c r="D5" s="710" t="s">
        <v>7</v>
      </c>
      <c r="E5" s="666"/>
      <c r="F5" s="692"/>
      <c r="G5" s="692"/>
    </row>
    <row r="6" spans="1:7" s="607" customFormat="1" x14ac:dyDescent="0.25">
      <c r="A6" s="710">
        <v>4.0199999999999996</v>
      </c>
      <c r="B6" s="710" t="s">
        <v>8</v>
      </c>
      <c r="C6" s="710" t="s">
        <v>9</v>
      </c>
      <c r="D6" s="710" t="s">
        <v>10</v>
      </c>
      <c r="E6" s="664"/>
      <c r="F6" s="692"/>
      <c r="G6" s="692"/>
    </row>
    <row r="7" spans="1:7" x14ac:dyDescent="0.25">
      <c r="A7" s="710">
        <v>4.0199999999999996</v>
      </c>
      <c r="B7" s="710" t="s">
        <v>8</v>
      </c>
      <c r="C7" s="710" t="s">
        <v>11</v>
      </c>
      <c r="D7" s="710" t="s">
        <v>12</v>
      </c>
      <c r="E7" s="664"/>
      <c r="F7" s="692"/>
      <c r="G7" s="692"/>
    </row>
    <row r="8" spans="1:7" s="607" customFormat="1" x14ac:dyDescent="0.25">
      <c r="A8" s="710">
        <v>4.0199999999999996</v>
      </c>
      <c r="B8" s="710" t="s">
        <v>8</v>
      </c>
      <c r="C8" s="710" t="s">
        <v>13</v>
      </c>
      <c r="D8" s="710" t="s">
        <v>10</v>
      </c>
      <c r="E8" s="664"/>
      <c r="F8" s="692"/>
      <c r="G8" s="692"/>
    </row>
    <row r="9" spans="1:7" s="607" customFormat="1" x14ac:dyDescent="0.25">
      <c r="A9" s="710">
        <v>4.0199999999999996</v>
      </c>
      <c r="B9" s="710" t="s">
        <v>8</v>
      </c>
      <c r="C9" s="710" t="s">
        <v>14</v>
      </c>
      <c r="D9" s="710" t="s">
        <v>15</v>
      </c>
      <c r="E9" s="664"/>
      <c r="F9" s="692"/>
      <c r="G9" s="692"/>
    </row>
    <row r="10" spans="1:7" x14ac:dyDescent="0.25">
      <c r="A10" s="710">
        <v>4.0199999999999996</v>
      </c>
      <c r="B10" s="710" t="s">
        <v>8</v>
      </c>
      <c r="C10" s="710" t="s">
        <v>16</v>
      </c>
      <c r="D10" s="710" t="s">
        <v>12</v>
      </c>
      <c r="E10" s="664"/>
      <c r="F10" s="692"/>
      <c r="G10" s="692"/>
    </row>
    <row r="11" spans="1:7" x14ac:dyDescent="0.25">
      <c r="A11" s="710">
        <v>4.0199999999999996</v>
      </c>
      <c r="B11" s="710" t="s">
        <v>8</v>
      </c>
      <c r="C11" s="710" t="s">
        <v>17</v>
      </c>
      <c r="D11" s="710" t="s">
        <v>18</v>
      </c>
      <c r="E11" s="664"/>
      <c r="F11" s="692"/>
      <c r="G11" s="692"/>
    </row>
    <row r="12" spans="1:7" x14ac:dyDescent="0.25">
      <c r="A12" s="710">
        <v>4.0199999999999996</v>
      </c>
      <c r="B12" s="710" t="s">
        <v>8</v>
      </c>
      <c r="C12" s="710" t="s">
        <v>19</v>
      </c>
      <c r="D12" s="710" t="s">
        <v>12</v>
      </c>
      <c r="E12" s="664"/>
      <c r="F12" s="692"/>
      <c r="G12" s="692"/>
    </row>
    <row r="13" spans="1:7" x14ac:dyDescent="0.25">
      <c r="A13" s="710">
        <v>4.0199999999999996</v>
      </c>
      <c r="B13" s="710" t="s">
        <v>20</v>
      </c>
      <c r="C13" s="710" t="s">
        <v>21</v>
      </c>
      <c r="D13" s="710" t="s">
        <v>22</v>
      </c>
      <c r="E13" s="664"/>
      <c r="F13" s="692"/>
      <c r="G13" s="692"/>
    </row>
    <row r="14" spans="1:7" x14ac:dyDescent="0.25">
      <c r="A14" s="710">
        <v>4.0199999999999996</v>
      </c>
      <c r="B14" s="710" t="s">
        <v>23</v>
      </c>
      <c r="C14" s="710" t="s">
        <v>21</v>
      </c>
      <c r="D14" s="710" t="s">
        <v>24</v>
      </c>
      <c r="E14" s="664"/>
      <c r="F14" s="692"/>
      <c r="G14" s="692"/>
    </row>
    <row r="15" spans="1:7" x14ac:dyDescent="0.25">
      <c r="A15" s="710">
        <v>4.0199999999999996</v>
      </c>
      <c r="B15" s="710" t="s">
        <v>8</v>
      </c>
      <c r="C15" s="710" t="s">
        <v>25</v>
      </c>
      <c r="D15" s="710" t="s">
        <v>26</v>
      </c>
      <c r="E15" s="664"/>
      <c r="F15" s="692"/>
      <c r="G15" s="692"/>
    </row>
    <row r="16" spans="1:7" x14ac:dyDescent="0.25">
      <c r="A16" s="710">
        <v>4.0199999999999996</v>
      </c>
      <c r="B16" s="710" t="s">
        <v>27</v>
      </c>
      <c r="C16" s="710" t="s">
        <v>28</v>
      </c>
      <c r="D16" s="710" t="s">
        <v>29</v>
      </c>
      <c r="E16" s="665"/>
      <c r="F16" s="692"/>
      <c r="G16" s="692"/>
    </row>
    <row r="17" spans="1:5" x14ac:dyDescent="0.25">
      <c r="A17" s="477">
        <v>4.03</v>
      </c>
      <c r="B17" s="477" t="s">
        <v>8</v>
      </c>
      <c r="C17" s="477" t="s">
        <v>30</v>
      </c>
      <c r="D17" s="477" t="s">
        <v>31</v>
      </c>
      <c r="E17" s="666">
        <v>41927</v>
      </c>
    </row>
    <row r="18" spans="1:5" x14ac:dyDescent="0.25">
      <c r="A18" s="710">
        <v>4.03</v>
      </c>
      <c r="B18" s="710" t="s">
        <v>32</v>
      </c>
      <c r="C18" s="710" t="s">
        <v>33</v>
      </c>
      <c r="D18" s="710" t="s">
        <v>34</v>
      </c>
      <c r="E18" s="667"/>
    </row>
    <row r="19" spans="1:5" x14ac:dyDescent="0.25">
      <c r="A19" s="710">
        <v>4.03</v>
      </c>
      <c r="B19" s="710" t="s">
        <v>23</v>
      </c>
      <c r="C19" s="710" t="s">
        <v>21</v>
      </c>
      <c r="D19" s="710" t="s">
        <v>35</v>
      </c>
      <c r="E19" s="667"/>
    </row>
    <row r="20" spans="1:5" x14ac:dyDescent="0.25">
      <c r="A20" s="710">
        <v>4.03</v>
      </c>
      <c r="B20" s="710" t="s">
        <v>8</v>
      </c>
      <c r="C20" s="710" t="s">
        <v>36</v>
      </c>
      <c r="D20" s="710" t="s">
        <v>37</v>
      </c>
      <c r="E20" s="673"/>
    </row>
    <row r="21" spans="1:5" s="607" customFormat="1" x14ac:dyDescent="0.25">
      <c r="A21" s="710" t="s">
        <v>38</v>
      </c>
      <c r="B21" s="710" t="s">
        <v>8</v>
      </c>
      <c r="C21" s="692"/>
      <c r="D21" s="710" t="s">
        <v>39</v>
      </c>
      <c r="E21" s="673"/>
    </row>
    <row r="22" spans="1:5" s="607" customFormat="1" x14ac:dyDescent="0.25">
      <c r="A22" s="710" t="s">
        <v>40</v>
      </c>
      <c r="B22" s="710" t="s">
        <v>8</v>
      </c>
      <c r="C22" s="710" t="s">
        <v>41</v>
      </c>
      <c r="D22" s="710" t="s">
        <v>42</v>
      </c>
      <c r="E22" s="673"/>
    </row>
    <row r="23" spans="1:5" s="607" customFormat="1" x14ac:dyDescent="0.25">
      <c r="A23" s="711" t="s">
        <v>40</v>
      </c>
      <c r="B23" s="711" t="s">
        <v>8</v>
      </c>
      <c r="C23" s="711" t="s">
        <v>43</v>
      </c>
      <c r="D23" s="710" t="s">
        <v>44</v>
      </c>
      <c r="E23" s="668"/>
    </row>
    <row r="24" spans="1:5" x14ac:dyDescent="0.25">
      <c r="A24" s="477">
        <v>4.04</v>
      </c>
      <c r="B24" s="477" t="s">
        <v>45</v>
      </c>
      <c r="C24" s="659"/>
      <c r="D24" s="477" t="s">
        <v>46</v>
      </c>
      <c r="E24" s="666">
        <v>41953</v>
      </c>
    </row>
    <row r="25" spans="1:5" x14ac:dyDescent="0.25">
      <c r="A25" s="710">
        <v>4.04</v>
      </c>
      <c r="B25" s="710" t="s">
        <v>8</v>
      </c>
      <c r="C25" s="692"/>
      <c r="D25" s="710" t="s">
        <v>47</v>
      </c>
      <c r="E25" s="669"/>
    </row>
    <row r="26" spans="1:5" x14ac:dyDescent="0.25">
      <c r="A26" s="477">
        <v>4.05</v>
      </c>
      <c r="B26" s="477" t="s">
        <v>20</v>
      </c>
      <c r="C26" s="477" t="s">
        <v>48</v>
      </c>
      <c r="D26" s="477" t="s">
        <v>49</v>
      </c>
      <c r="E26" s="670">
        <v>42027</v>
      </c>
    </row>
    <row r="27" spans="1:5" s="607" customFormat="1" x14ac:dyDescent="0.25">
      <c r="A27" s="477" t="s">
        <v>50</v>
      </c>
      <c r="B27" s="477" t="s">
        <v>51</v>
      </c>
      <c r="C27" s="477"/>
      <c r="D27" s="477" t="s">
        <v>52</v>
      </c>
      <c r="E27" s="675">
        <v>42181</v>
      </c>
    </row>
    <row r="28" spans="1:5" s="607" customFormat="1" x14ac:dyDescent="0.25">
      <c r="A28" s="477">
        <v>4.0599999999999996</v>
      </c>
      <c r="B28" s="477"/>
      <c r="C28" s="477"/>
      <c r="D28" s="477" t="s">
        <v>7</v>
      </c>
      <c r="E28" s="674"/>
    </row>
    <row r="29" spans="1:5" s="607" customFormat="1" x14ac:dyDescent="0.25">
      <c r="A29" s="710">
        <v>4.0599999999999996</v>
      </c>
      <c r="B29" s="710" t="s">
        <v>45</v>
      </c>
      <c r="C29" s="710" t="s">
        <v>53</v>
      </c>
      <c r="D29" s="710" t="s">
        <v>54</v>
      </c>
      <c r="E29" s="667"/>
    </row>
    <row r="30" spans="1:5" s="607" customFormat="1" x14ac:dyDescent="0.25">
      <c r="A30" s="710">
        <v>4.0599999999999996</v>
      </c>
      <c r="B30" s="710" t="s">
        <v>55</v>
      </c>
      <c r="C30" s="710" t="s">
        <v>56</v>
      </c>
      <c r="D30" s="710" t="s">
        <v>57</v>
      </c>
      <c r="E30" s="669"/>
    </row>
    <row r="31" spans="1:5" s="607" customFormat="1" x14ac:dyDescent="0.25">
      <c r="A31" s="477">
        <v>4.0999999999999996</v>
      </c>
      <c r="B31" s="477" t="s">
        <v>8</v>
      </c>
      <c r="C31" s="477" t="s">
        <v>58</v>
      </c>
      <c r="D31" s="477" t="s">
        <v>59</v>
      </c>
      <c r="E31" s="666">
        <v>42254</v>
      </c>
    </row>
    <row r="32" spans="1:5" s="607" customFormat="1" x14ac:dyDescent="0.25">
      <c r="A32" s="710">
        <v>4.0999999999999996</v>
      </c>
      <c r="B32" s="710" t="s">
        <v>8</v>
      </c>
      <c r="C32" s="710" t="s">
        <v>60</v>
      </c>
      <c r="D32" s="710" t="s">
        <v>59</v>
      </c>
      <c r="E32" s="667"/>
    </row>
    <row r="33" spans="1:5" s="607" customFormat="1" x14ac:dyDescent="0.25">
      <c r="A33" s="710">
        <v>4.0999999999999996</v>
      </c>
      <c r="B33" s="710" t="s">
        <v>8</v>
      </c>
      <c r="C33" s="710" t="s">
        <v>61</v>
      </c>
      <c r="D33" s="710" t="s">
        <v>59</v>
      </c>
      <c r="E33" s="667"/>
    </row>
    <row r="34" spans="1:5" s="607" customFormat="1" x14ac:dyDescent="0.25">
      <c r="A34" s="710">
        <v>4.0999999999999996</v>
      </c>
      <c r="B34" s="710" t="s">
        <v>8</v>
      </c>
      <c r="C34" s="710" t="s">
        <v>62</v>
      </c>
      <c r="D34" s="710" t="s">
        <v>59</v>
      </c>
      <c r="E34" s="667"/>
    </row>
    <row r="35" spans="1:5" x14ac:dyDescent="0.25">
      <c r="A35" s="710">
        <v>4.0999999999999996</v>
      </c>
      <c r="B35" s="710" t="s">
        <v>8</v>
      </c>
      <c r="C35" s="710" t="s">
        <v>63</v>
      </c>
      <c r="D35" s="710" t="s">
        <v>64</v>
      </c>
      <c r="E35" s="664"/>
    </row>
    <row r="36" spans="1:5" x14ac:dyDescent="0.25">
      <c r="A36" s="710">
        <v>4.0999999999999996</v>
      </c>
      <c r="B36" s="710" t="s">
        <v>8</v>
      </c>
      <c r="C36" s="710" t="s">
        <v>65</v>
      </c>
      <c r="D36" s="710" t="s">
        <v>66</v>
      </c>
      <c r="E36" s="664"/>
    </row>
    <row r="37" spans="1:5" x14ac:dyDescent="0.25">
      <c r="A37" s="710">
        <v>4.0999999999999996</v>
      </c>
      <c r="B37" s="710" t="s">
        <v>8</v>
      </c>
      <c r="C37" s="710" t="s">
        <v>67</v>
      </c>
      <c r="D37" s="710" t="s">
        <v>68</v>
      </c>
      <c r="E37" s="664"/>
    </row>
    <row r="38" spans="1:5" x14ac:dyDescent="0.25">
      <c r="A38" s="710">
        <v>4.0999999999999996</v>
      </c>
      <c r="B38" s="710" t="s">
        <v>8</v>
      </c>
      <c r="C38" s="710" t="s">
        <v>69</v>
      </c>
      <c r="D38" s="710" t="s">
        <v>70</v>
      </c>
      <c r="E38" s="664"/>
    </row>
    <row r="39" spans="1:5" x14ac:dyDescent="0.25">
      <c r="A39" s="710">
        <v>4.0999999999999996</v>
      </c>
      <c r="B39" s="710" t="s">
        <v>8</v>
      </c>
      <c r="C39" s="710" t="s">
        <v>71</v>
      </c>
      <c r="D39" s="710" t="s">
        <v>72</v>
      </c>
      <c r="E39" s="664"/>
    </row>
    <row r="40" spans="1:5" x14ac:dyDescent="0.25">
      <c r="A40" s="710">
        <v>4.0999999999999996</v>
      </c>
      <c r="B40" s="710" t="s">
        <v>8</v>
      </c>
      <c r="C40" s="710" t="s">
        <v>73</v>
      </c>
      <c r="D40" s="710" t="s">
        <v>74</v>
      </c>
      <c r="E40" s="664"/>
    </row>
    <row r="41" spans="1:5" x14ac:dyDescent="0.25">
      <c r="A41" s="710">
        <v>4.0999999999999996</v>
      </c>
      <c r="B41" s="710" t="s">
        <v>8</v>
      </c>
      <c r="C41" s="710" t="s">
        <v>75</v>
      </c>
      <c r="D41" s="710" t="s">
        <v>76</v>
      </c>
      <c r="E41" s="664"/>
    </row>
    <row r="42" spans="1:5" x14ac:dyDescent="0.25">
      <c r="A42" s="710">
        <v>4.0999999999999996</v>
      </c>
      <c r="B42" s="710" t="s">
        <v>8</v>
      </c>
      <c r="C42" s="710" t="s">
        <v>77</v>
      </c>
      <c r="D42" s="710" t="s">
        <v>78</v>
      </c>
      <c r="E42" s="664"/>
    </row>
    <row r="43" spans="1:5" x14ac:dyDescent="0.25">
      <c r="A43" s="710">
        <v>4.0999999999999996</v>
      </c>
      <c r="B43" s="710" t="s">
        <v>8</v>
      </c>
      <c r="C43" s="710" t="s">
        <v>79</v>
      </c>
      <c r="D43" s="710" t="s">
        <v>74</v>
      </c>
      <c r="E43" s="664"/>
    </row>
    <row r="44" spans="1:5" x14ac:dyDescent="0.25">
      <c r="A44" s="710">
        <v>4.0999999999999996</v>
      </c>
      <c r="B44" s="710" t="s">
        <v>8</v>
      </c>
      <c r="C44" s="710" t="s">
        <v>80</v>
      </c>
      <c r="D44" s="710" t="s">
        <v>81</v>
      </c>
      <c r="E44" s="664"/>
    </row>
    <row r="45" spans="1:5" x14ac:dyDescent="0.25">
      <c r="A45" s="710">
        <v>4.0999999999999996</v>
      </c>
      <c r="B45" s="710" t="s">
        <v>8</v>
      </c>
      <c r="C45" s="710" t="s">
        <v>82</v>
      </c>
      <c r="D45" s="710" t="s">
        <v>83</v>
      </c>
      <c r="E45" s="664"/>
    </row>
    <row r="46" spans="1:5" x14ac:dyDescent="0.25">
      <c r="A46" s="710">
        <v>4.0999999999999996</v>
      </c>
      <c r="B46" s="710" t="s">
        <v>8</v>
      </c>
      <c r="C46" s="710" t="s">
        <v>84</v>
      </c>
      <c r="D46" s="710" t="s">
        <v>83</v>
      </c>
      <c r="E46" s="664"/>
    </row>
    <row r="47" spans="1:5" x14ac:dyDescent="0.25">
      <c r="A47" s="710">
        <v>4.0999999999999996</v>
      </c>
      <c r="B47" s="710" t="s">
        <v>8</v>
      </c>
      <c r="C47" s="710" t="s">
        <v>85</v>
      </c>
      <c r="D47" s="710" t="s">
        <v>74</v>
      </c>
      <c r="E47" s="664"/>
    </row>
    <row r="48" spans="1:5" x14ac:dyDescent="0.25">
      <c r="A48" s="710">
        <v>4.0999999999999996</v>
      </c>
      <c r="B48" s="710" t="s">
        <v>8</v>
      </c>
      <c r="C48" s="710" t="s">
        <v>36</v>
      </c>
      <c r="D48" s="710" t="s">
        <v>86</v>
      </c>
      <c r="E48" s="664"/>
    </row>
    <row r="49" spans="1:5" x14ac:dyDescent="0.25">
      <c r="A49" s="710">
        <v>4.0999999999999996</v>
      </c>
      <c r="B49" s="710" t="s">
        <v>8</v>
      </c>
      <c r="C49" s="710" t="s">
        <v>87</v>
      </c>
      <c r="D49" s="710" t="s">
        <v>88</v>
      </c>
      <c r="E49" s="664"/>
    </row>
    <row r="50" spans="1:5" x14ac:dyDescent="0.25">
      <c r="A50" s="710">
        <v>4.0999999999999996</v>
      </c>
      <c r="B50" s="710" t="s">
        <v>8</v>
      </c>
      <c r="C50" s="710" t="s">
        <v>89</v>
      </c>
      <c r="D50" s="710" t="s">
        <v>90</v>
      </c>
      <c r="E50" s="664"/>
    </row>
    <row r="51" spans="1:5" x14ac:dyDescent="0.25">
      <c r="A51" s="710">
        <v>4.0999999999999996</v>
      </c>
      <c r="B51" s="710" t="s">
        <v>8</v>
      </c>
      <c r="C51" s="710" t="s">
        <v>91</v>
      </c>
      <c r="D51" s="710" t="s">
        <v>92</v>
      </c>
      <c r="E51" s="664"/>
    </row>
    <row r="52" spans="1:5" x14ac:dyDescent="0.25">
      <c r="A52" s="710">
        <v>4.0999999999999996</v>
      </c>
      <c r="B52" s="710" t="s">
        <v>8</v>
      </c>
      <c r="C52" s="710" t="s">
        <v>93</v>
      </c>
      <c r="D52" s="710" t="s">
        <v>94</v>
      </c>
      <c r="E52" s="664"/>
    </row>
    <row r="53" spans="1:5" x14ac:dyDescent="0.25">
      <c r="A53" s="710">
        <v>4.0999999999999996</v>
      </c>
      <c r="B53" s="710" t="s">
        <v>8</v>
      </c>
      <c r="C53" s="710" t="s">
        <v>95</v>
      </c>
      <c r="D53" s="710" t="s">
        <v>94</v>
      </c>
      <c r="E53" s="664"/>
    </row>
    <row r="54" spans="1:5" s="607" customFormat="1" x14ac:dyDescent="0.25">
      <c r="A54" s="710">
        <v>4.0999999999999996</v>
      </c>
      <c r="B54" s="710" t="s">
        <v>8</v>
      </c>
      <c r="C54" s="710" t="s">
        <v>96</v>
      </c>
      <c r="D54" s="710" t="s">
        <v>97</v>
      </c>
      <c r="E54" s="664"/>
    </row>
    <row r="55" spans="1:5" s="607" customFormat="1" x14ac:dyDescent="0.25">
      <c r="A55" s="710">
        <v>4.0999999999999996</v>
      </c>
      <c r="B55" s="710" t="s">
        <v>8</v>
      </c>
      <c r="C55" s="710" t="s">
        <v>98</v>
      </c>
      <c r="D55" s="710" t="s">
        <v>99</v>
      </c>
      <c r="E55" s="664"/>
    </row>
    <row r="56" spans="1:5" s="607" customFormat="1" x14ac:dyDescent="0.25">
      <c r="A56" s="710">
        <v>4.0999999999999996</v>
      </c>
      <c r="B56" s="710" t="s">
        <v>8</v>
      </c>
      <c r="C56" s="710" t="s">
        <v>100</v>
      </c>
      <c r="D56" s="710" t="s">
        <v>101</v>
      </c>
      <c r="E56" s="664"/>
    </row>
    <row r="57" spans="1:5" s="607" customFormat="1" x14ac:dyDescent="0.25">
      <c r="A57" s="710">
        <v>4.0999999999999996</v>
      </c>
      <c r="B57" s="710" t="s">
        <v>8</v>
      </c>
      <c r="C57" s="710" t="s">
        <v>102</v>
      </c>
      <c r="D57" s="710" t="s">
        <v>83</v>
      </c>
      <c r="E57" s="664"/>
    </row>
    <row r="58" spans="1:5" s="607" customFormat="1" x14ac:dyDescent="0.25">
      <c r="A58" s="710">
        <v>4.0999999999999996</v>
      </c>
      <c r="B58" s="710" t="s">
        <v>8</v>
      </c>
      <c r="C58" s="710" t="s">
        <v>103</v>
      </c>
      <c r="D58" s="710" t="s">
        <v>104</v>
      </c>
      <c r="E58" s="664"/>
    </row>
    <row r="59" spans="1:5" x14ac:dyDescent="0.25">
      <c r="A59" s="710">
        <v>4.0999999999999996</v>
      </c>
      <c r="B59" s="710" t="s">
        <v>105</v>
      </c>
      <c r="C59" s="710" t="s">
        <v>106</v>
      </c>
      <c r="D59" s="710" t="s">
        <v>107</v>
      </c>
      <c r="E59" s="664"/>
    </row>
    <row r="60" spans="1:5" x14ac:dyDescent="0.25">
      <c r="A60" s="710">
        <v>4.0999999999999996</v>
      </c>
      <c r="B60" s="710" t="s">
        <v>108</v>
      </c>
      <c r="C60" s="710" t="s">
        <v>109</v>
      </c>
      <c r="D60" s="710" t="s">
        <v>110</v>
      </c>
      <c r="E60" s="664"/>
    </row>
    <row r="61" spans="1:5" x14ac:dyDescent="0.25">
      <c r="A61" s="710">
        <v>4.0999999999999996</v>
      </c>
      <c r="B61" s="710" t="s">
        <v>111</v>
      </c>
      <c r="C61" s="710" t="s">
        <v>112</v>
      </c>
      <c r="D61" s="710" t="s">
        <v>113</v>
      </c>
      <c r="E61" s="664"/>
    </row>
    <row r="62" spans="1:5" x14ac:dyDescent="0.25">
      <c r="A62" s="710">
        <v>4.0999999999999996</v>
      </c>
      <c r="B62" s="710" t="s">
        <v>114</v>
      </c>
      <c r="C62" s="710" t="s">
        <v>115</v>
      </c>
      <c r="D62" s="710" t="s">
        <v>116</v>
      </c>
      <c r="E62" s="664"/>
    </row>
    <row r="63" spans="1:5" x14ac:dyDescent="0.25">
      <c r="A63" s="710">
        <v>4.0999999999999996</v>
      </c>
      <c r="B63" s="710" t="s">
        <v>111</v>
      </c>
      <c r="C63" s="710" t="s">
        <v>117</v>
      </c>
      <c r="D63" s="710" t="s">
        <v>116</v>
      </c>
      <c r="E63" s="664"/>
    </row>
    <row r="64" spans="1:5" x14ac:dyDescent="0.25">
      <c r="A64" s="710">
        <v>4.0999999999999996</v>
      </c>
      <c r="B64" s="710" t="s">
        <v>108</v>
      </c>
      <c r="C64" s="710" t="s">
        <v>118</v>
      </c>
      <c r="D64" s="710" t="s">
        <v>119</v>
      </c>
      <c r="E64" s="664"/>
    </row>
    <row r="65" spans="1:6" x14ac:dyDescent="0.25">
      <c r="A65" s="711">
        <v>4.0999999999999996</v>
      </c>
      <c r="B65" s="711" t="s">
        <v>23</v>
      </c>
      <c r="C65" s="711" t="s">
        <v>120</v>
      </c>
      <c r="D65" s="711" t="s">
        <v>121</v>
      </c>
      <c r="E65" s="665"/>
      <c r="F65" s="51"/>
    </row>
    <row r="66" spans="1:6" ht="15.75" x14ac:dyDescent="0.3">
      <c r="A66" s="710" t="s">
        <v>28</v>
      </c>
      <c r="B66" s="710" t="s">
        <v>111</v>
      </c>
      <c r="C66" s="710" t="s">
        <v>122</v>
      </c>
      <c r="D66" s="710" t="s">
        <v>123</v>
      </c>
      <c r="E66" s="713">
        <v>42416</v>
      </c>
      <c r="F66" s="692"/>
    </row>
    <row r="67" spans="1:6" x14ac:dyDescent="0.25">
      <c r="A67" s="710" t="s">
        <v>28</v>
      </c>
      <c r="B67" s="710" t="s">
        <v>111</v>
      </c>
      <c r="C67" s="710" t="s">
        <v>124</v>
      </c>
      <c r="D67" s="710" t="s">
        <v>125</v>
      </c>
      <c r="E67" s="664"/>
      <c r="F67" s="692"/>
    </row>
    <row r="68" spans="1:6" s="607" customFormat="1" x14ac:dyDescent="0.25">
      <c r="A68" s="710" t="s">
        <v>28</v>
      </c>
      <c r="B68" s="710" t="s">
        <v>111</v>
      </c>
      <c r="C68" s="710" t="s">
        <v>126</v>
      </c>
      <c r="D68" s="710" t="s">
        <v>127</v>
      </c>
      <c r="E68" s="664"/>
      <c r="F68" s="692"/>
    </row>
    <row r="69" spans="1:6" x14ac:dyDescent="0.25">
      <c r="A69" s="712" t="s">
        <v>28</v>
      </c>
      <c r="B69" s="710" t="s">
        <v>111</v>
      </c>
      <c r="C69" s="710" t="s">
        <v>128</v>
      </c>
      <c r="D69" s="710" t="s">
        <v>129</v>
      </c>
      <c r="E69" s="664"/>
      <c r="F69" s="692"/>
    </row>
    <row r="70" spans="1:6" x14ac:dyDescent="0.25">
      <c r="A70" s="712" t="s">
        <v>28</v>
      </c>
      <c r="B70" s="710" t="s">
        <v>130</v>
      </c>
      <c r="C70" s="710" t="s">
        <v>131</v>
      </c>
      <c r="D70" s="710" t="s">
        <v>132</v>
      </c>
      <c r="E70" s="664"/>
      <c r="F70" s="692"/>
    </row>
    <row r="71" spans="1:6" x14ac:dyDescent="0.25">
      <c r="A71" s="710" t="s">
        <v>28</v>
      </c>
      <c r="B71" s="710" t="s">
        <v>8</v>
      </c>
      <c r="C71" s="710" t="s">
        <v>133</v>
      </c>
      <c r="D71" s="710" t="s">
        <v>134</v>
      </c>
      <c r="E71" s="665"/>
      <c r="F71" s="692"/>
    </row>
    <row r="72" spans="1:6" s="692" customFormat="1" ht="15.75" x14ac:dyDescent="0.3">
      <c r="A72" s="717" t="s">
        <v>135</v>
      </c>
      <c r="B72" s="477" t="s">
        <v>8</v>
      </c>
      <c r="C72" s="744" t="s">
        <v>33</v>
      </c>
      <c r="D72" s="718" t="s">
        <v>136</v>
      </c>
      <c r="E72" s="713">
        <v>43739</v>
      </c>
    </row>
    <row r="73" spans="1:6" x14ac:dyDescent="0.25">
      <c r="A73" s="712" t="s">
        <v>135</v>
      </c>
      <c r="B73" s="710" t="s">
        <v>8</v>
      </c>
      <c r="C73" s="742" t="s">
        <v>137</v>
      </c>
      <c r="D73" s="708" t="s">
        <v>138</v>
      </c>
      <c r="E73" s="716"/>
      <c r="F73" s="692"/>
    </row>
    <row r="74" spans="1:6" x14ac:dyDescent="0.25">
      <c r="A74" s="712" t="s">
        <v>135</v>
      </c>
      <c r="B74" s="710" t="s">
        <v>8</v>
      </c>
      <c r="C74" s="742" t="s">
        <v>139</v>
      </c>
      <c r="D74" s="708" t="s">
        <v>140</v>
      </c>
      <c r="E74" s="716"/>
      <c r="F74" s="692"/>
    </row>
    <row r="75" spans="1:6" x14ac:dyDescent="0.25">
      <c r="A75" s="712" t="s">
        <v>135</v>
      </c>
      <c r="B75" s="710" t="s">
        <v>8</v>
      </c>
      <c r="C75" s="742" t="s">
        <v>141</v>
      </c>
      <c r="D75" s="708" t="s">
        <v>142</v>
      </c>
      <c r="E75" s="716"/>
      <c r="F75" s="692"/>
    </row>
    <row r="76" spans="1:6" x14ac:dyDescent="0.25">
      <c r="A76" s="712" t="s">
        <v>135</v>
      </c>
      <c r="B76" s="710" t="s">
        <v>8</v>
      </c>
      <c r="C76" s="742" t="s">
        <v>143</v>
      </c>
      <c r="D76" s="708" t="s">
        <v>144</v>
      </c>
      <c r="E76" s="716"/>
      <c r="F76" s="692"/>
    </row>
    <row r="77" spans="1:6" s="692" customFormat="1" x14ac:dyDescent="0.25">
      <c r="A77" s="712" t="s">
        <v>135</v>
      </c>
      <c r="B77" s="710" t="s">
        <v>8</v>
      </c>
      <c r="C77" s="742" t="s">
        <v>145</v>
      </c>
      <c r="D77" s="708" t="s">
        <v>146</v>
      </c>
      <c r="E77" s="716"/>
    </row>
    <row r="78" spans="1:6" x14ac:dyDescent="0.25">
      <c r="A78" s="712" t="s">
        <v>135</v>
      </c>
      <c r="B78" s="710" t="s">
        <v>8</v>
      </c>
      <c r="C78" s="742" t="s">
        <v>147</v>
      </c>
      <c r="D78" s="708" t="s">
        <v>146</v>
      </c>
      <c r="E78" s="716"/>
      <c r="F78" s="692"/>
    </row>
    <row r="79" spans="1:6" x14ac:dyDescent="0.25">
      <c r="A79" s="712" t="s">
        <v>135</v>
      </c>
      <c r="B79" s="710" t="s">
        <v>8</v>
      </c>
      <c r="C79" s="742" t="s">
        <v>148</v>
      </c>
      <c r="D79" s="708" t="s">
        <v>149</v>
      </c>
      <c r="E79" s="716"/>
      <c r="F79" s="692"/>
    </row>
    <row r="80" spans="1:6" x14ac:dyDescent="0.25">
      <c r="A80" s="712" t="s">
        <v>135</v>
      </c>
      <c r="B80" s="710" t="s">
        <v>114</v>
      </c>
      <c r="C80" s="742" t="s">
        <v>150</v>
      </c>
      <c r="D80" s="708" t="s">
        <v>151</v>
      </c>
      <c r="E80" s="716"/>
      <c r="F80" s="692"/>
    </row>
    <row r="81" spans="1:5" x14ac:dyDescent="0.25">
      <c r="A81" s="712" t="s">
        <v>135</v>
      </c>
      <c r="B81" s="710" t="s">
        <v>111</v>
      </c>
      <c r="C81" s="742" t="s">
        <v>152</v>
      </c>
      <c r="D81" s="708" t="s">
        <v>153</v>
      </c>
      <c r="E81" s="716"/>
    </row>
    <row r="82" spans="1:5" x14ac:dyDescent="0.25">
      <c r="A82" s="712" t="s">
        <v>135</v>
      </c>
      <c r="B82" s="710" t="s">
        <v>111</v>
      </c>
      <c r="C82" s="742" t="s">
        <v>154</v>
      </c>
      <c r="D82" s="708" t="s">
        <v>155</v>
      </c>
      <c r="E82" s="716"/>
    </row>
    <row r="83" spans="1:5" x14ac:dyDescent="0.25">
      <c r="A83" s="712" t="s">
        <v>135</v>
      </c>
      <c r="B83" s="710" t="s">
        <v>130</v>
      </c>
      <c r="C83" s="742" t="s">
        <v>156</v>
      </c>
      <c r="D83" s="708" t="s">
        <v>157</v>
      </c>
      <c r="E83" s="716"/>
    </row>
    <row r="84" spans="1:5" s="692" customFormat="1" x14ac:dyDescent="0.25">
      <c r="A84" s="712" t="s">
        <v>135</v>
      </c>
      <c r="B84" s="710" t="s">
        <v>55</v>
      </c>
      <c r="C84" s="742" t="s">
        <v>158</v>
      </c>
      <c r="D84" s="708" t="s">
        <v>157</v>
      </c>
      <c r="E84" s="716"/>
    </row>
    <row r="85" spans="1:5" x14ac:dyDescent="0.25">
      <c r="A85" s="712" t="s">
        <v>135</v>
      </c>
      <c r="B85" s="710" t="s">
        <v>20</v>
      </c>
      <c r="C85" s="742" t="s">
        <v>159</v>
      </c>
      <c r="D85" s="708" t="s">
        <v>160</v>
      </c>
      <c r="E85" s="716"/>
    </row>
    <row r="86" spans="1:5" x14ac:dyDescent="0.25">
      <c r="A86" s="712" t="s">
        <v>135</v>
      </c>
      <c r="B86" s="710" t="s">
        <v>111</v>
      </c>
      <c r="C86" s="742" t="s">
        <v>154</v>
      </c>
      <c r="D86" s="708" t="s">
        <v>161</v>
      </c>
      <c r="E86" s="716"/>
    </row>
    <row r="87" spans="1:5" x14ac:dyDescent="0.25">
      <c r="A87" s="712" t="s">
        <v>135</v>
      </c>
      <c r="B87" s="710" t="s">
        <v>45</v>
      </c>
      <c r="C87" s="742" t="s">
        <v>106</v>
      </c>
      <c r="D87" s="708" t="s">
        <v>162</v>
      </c>
      <c r="E87" s="716"/>
    </row>
    <row r="88" spans="1:5" x14ac:dyDescent="0.25">
      <c r="A88" s="712" t="s">
        <v>135</v>
      </c>
      <c r="B88" s="710" t="s">
        <v>23</v>
      </c>
      <c r="C88" s="742" t="s">
        <v>163</v>
      </c>
      <c r="D88" s="708" t="s">
        <v>164</v>
      </c>
      <c r="E88" s="716"/>
    </row>
    <row r="89" spans="1:5" x14ac:dyDescent="0.25">
      <c r="A89" s="712" t="s">
        <v>135</v>
      </c>
      <c r="B89" s="710" t="s">
        <v>20</v>
      </c>
      <c r="C89" s="742" t="s">
        <v>163</v>
      </c>
      <c r="D89" s="708" t="s">
        <v>164</v>
      </c>
      <c r="E89" s="716"/>
    </row>
    <row r="90" spans="1:5" x14ac:dyDescent="0.25">
      <c r="A90" s="712" t="s">
        <v>135</v>
      </c>
      <c r="B90" s="710" t="s">
        <v>111</v>
      </c>
      <c r="C90" s="742" t="s">
        <v>163</v>
      </c>
      <c r="D90" s="708" t="s">
        <v>164</v>
      </c>
      <c r="E90" s="716"/>
    </row>
    <row r="91" spans="1:5" x14ac:dyDescent="0.25">
      <c r="A91" s="712" t="s">
        <v>135</v>
      </c>
      <c r="B91" s="710" t="s">
        <v>108</v>
      </c>
      <c r="C91" s="742" t="s">
        <v>163</v>
      </c>
      <c r="D91" s="708" t="s">
        <v>164</v>
      </c>
      <c r="E91" s="716"/>
    </row>
    <row r="92" spans="1:5" x14ac:dyDescent="0.25">
      <c r="A92" s="712" t="s">
        <v>135</v>
      </c>
      <c r="B92" s="710" t="s">
        <v>20</v>
      </c>
      <c r="C92" s="742" t="s">
        <v>165</v>
      </c>
      <c r="D92" s="708" t="s">
        <v>166</v>
      </c>
      <c r="E92" s="716"/>
    </row>
    <row r="93" spans="1:5" x14ac:dyDescent="0.25">
      <c r="A93" s="712" t="s">
        <v>135</v>
      </c>
      <c r="B93" s="710" t="s">
        <v>111</v>
      </c>
      <c r="C93" s="742" t="s">
        <v>167</v>
      </c>
      <c r="D93" s="710" t="s">
        <v>166</v>
      </c>
      <c r="E93" s="664"/>
    </row>
    <row r="94" spans="1:5" ht="27" x14ac:dyDescent="0.3">
      <c r="A94" s="712" t="s">
        <v>135</v>
      </c>
      <c r="B94" s="710" t="s">
        <v>8</v>
      </c>
      <c r="C94" s="742" t="s">
        <v>168</v>
      </c>
      <c r="D94" s="715" t="s">
        <v>169</v>
      </c>
      <c r="E94" s="746"/>
    </row>
    <row r="95" spans="1:5" x14ac:dyDescent="0.25">
      <c r="A95" s="712" t="s">
        <v>135</v>
      </c>
      <c r="B95" s="710" t="s">
        <v>8</v>
      </c>
      <c r="C95" s="742" t="s">
        <v>170</v>
      </c>
      <c r="D95" s="708" t="s">
        <v>171</v>
      </c>
      <c r="E95" s="664"/>
    </row>
    <row r="96" spans="1:5" x14ac:dyDescent="0.25">
      <c r="A96" s="712" t="s">
        <v>135</v>
      </c>
      <c r="B96" s="710" t="s">
        <v>8</v>
      </c>
      <c r="C96" s="742" t="s">
        <v>172</v>
      </c>
      <c r="D96" s="708" t="s">
        <v>173</v>
      </c>
      <c r="E96" s="664"/>
    </row>
    <row r="97" spans="1:5" x14ac:dyDescent="0.25">
      <c r="A97" s="712" t="s">
        <v>135</v>
      </c>
      <c r="B97" s="710" t="s">
        <v>8</v>
      </c>
      <c r="C97" s="692"/>
      <c r="D97" s="708" t="s">
        <v>174</v>
      </c>
      <c r="E97" s="664"/>
    </row>
    <row r="98" spans="1:5" x14ac:dyDescent="0.25">
      <c r="A98" s="712" t="s">
        <v>135</v>
      </c>
      <c r="B98" s="710" t="s">
        <v>8</v>
      </c>
      <c r="C98" s="742">
        <v>65</v>
      </c>
      <c r="D98" s="708" t="s">
        <v>175</v>
      </c>
      <c r="E98" s="664"/>
    </row>
    <row r="99" spans="1:5" x14ac:dyDescent="0.25">
      <c r="A99" s="712" t="s">
        <v>135</v>
      </c>
      <c r="B99" s="710" t="s">
        <v>8</v>
      </c>
      <c r="C99" s="742" t="s">
        <v>176</v>
      </c>
      <c r="D99" s="708" t="s">
        <v>177</v>
      </c>
      <c r="E99" s="664"/>
    </row>
    <row r="100" spans="1:5" x14ac:dyDescent="0.25">
      <c r="A100" s="712" t="s">
        <v>135</v>
      </c>
      <c r="B100" s="710" t="s">
        <v>108</v>
      </c>
      <c r="C100" s="742" t="s">
        <v>109</v>
      </c>
      <c r="D100" s="708" t="s">
        <v>166</v>
      </c>
      <c r="E100" s="664"/>
    </row>
    <row r="101" spans="1:5" ht="40.5" x14ac:dyDescent="0.25">
      <c r="A101" s="712" t="s">
        <v>135</v>
      </c>
      <c r="B101" s="710" t="s">
        <v>8</v>
      </c>
      <c r="C101" s="745" t="s">
        <v>178</v>
      </c>
      <c r="D101" s="708" t="s">
        <v>179</v>
      </c>
      <c r="E101" s="664"/>
    </row>
    <row r="102" spans="1:5" x14ac:dyDescent="0.25">
      <c r="A102" s="712" t="s">
        <v>135</v>
      </c>
      <c r="B102" s="710" t="s">
        <v>114</v>
      </c>
      <c r="C102" s="742" t="s">
        <v>180</v>
      </c>
      <c r="D102" s="708" t="s">
        <v>181</v>
      </c>
      <c r="E102" s="664"/>
    </row>
    <row r="103" spans="1:5" x14ac:dyDescent="0.25">
      <c r="A103" s="712" t="s">
        <v>135</v>
      </c>
      <c r="B103" s="710" t="s">
        <v>111</v>
      </c>
      <c r="C103" s="742" t="s">
        <v>65</v>
      </c>
      <c r="D103" s="708" t="s">
        <v>182</v>
      </c>
      <c r="E103" s="664"/>
    </row>
    <row r="104" spans="1:5" x14ac:dyDescent="0.25">
      <c r="A104" s="712" t="s">
        <v>135</v>
      </c>
      <c r="B104" s="710" t="s">
        <v>105</v>
      </c>
      <c r="C104" s="742" t="s">
        <v>183</v>
      </c>
      <c r="D104" s="708" t="s">
        <v>184</v>
      </c>
      <c r="E104" s="664"/>
    </row>
    <row r="105" spans="1:5" x14ac:dyDescent="0.25">
      <c r="A105" s="712" t="s">
        <v>135</v>
      </c>
      <c r="B105" s="710" t="s">
        <v>23</v>
      </c>
      <c r="C105" s="742" t="s">
        <v>185</v>
      </c>
      <c r="D105" s="708" t="s">
        <v>186</v>
      </c>
      <c r="E105" s="664"/>
    </row>
    <row r="106" spans="1:5" x14ac:dyDescent="0.25">
      <c r="A106" s="712" t="s">
        <v>135</v>
      </c>
      <c r="B106" s="710" t="s">
        <v>111</v>
      </c>
      <c r="C106" s="742" t="s">
        <v>187</v>
      </c>
      <c r="D106" s="708" t="s">
        <v>186</v>
      </c>
      <c r="E106" s="664"/>
    </row>
    <row r="107" spans="1:5" x14ac:dyDescent="0.25">
      <c r="A107" s="712" t="s">
        <v>135</v>
      </c>
      <c r="B107" s="710" t="s">
        <v>8</v>
      </c>
      <c r="C107" s="742">
        <v>137</v>
      </c>
      <c r="D107" s="708" t="s">
        <v>188</v>
      </c>
      <c r="E107" s="664"/>
    </row>
    <row r="108" spans="1:5" x14ac:dyDescent="0.25">
      <c r="A108" s="712" t="s">
        <v>135</v>
      </c>
      <c r="B108" s="710" t="s">
        <v>108</v>
      </c>
      <c r="C108" s="742" t="s">
        <v>189</v>
      </c>
      <c r="D108" s="708" t="s">
        <v>190</v>
      </c>
      <c r="E108" s="664"/>
    </row>
    <row r="109" spans="1:5" x14ac:dyDescent="0.25">
      <c r="A109" s="712" t="s">
        <v>135</v>
      </c>
      <c r="B109" s="710" t="s">
        <v>20</v>
      </c>
      <c r="C109" s="742" t="s">
        <v>191</v>
      </c>
      <c r="D109" s="708" t="s">
        <v>192</v>
      </c>
      <c r="E109" s="664"/>
    </row>
    <row r="110" spans="1:5" x14ac:dyDescent="0.25">
      <c r="A110" s="712" t="s">
        <v>135</v>
      </c>
      <c r="B110" s="710" t="s">
        <v>20</v>
      </c>
      <c r="C110" s="742" t="s">
        <v>193</v>
      </c>
      <c r="D110" s="708" t="s">
        <v>194</v>
      </c>
      <c r="E110" s="664"/>
    </row>
    <row r="111" spans="1:5" x14ac:dyDescent="0.25">
      <c r="A111" s="711" t="s">
        <v>135</v>
      </c>
      <c r="B111" s="711" t="s">
        <v>111</v>
      </c>
      <c r="C111" s="743" t="s">
        <v>159</v>
      </c>
      <c r="D111" s="711" t="s">
        <v>195</v>
      </c>
      <c r="E111" s="665"/>
    </row>
    <row r="112" spans="1:5" s="692" customFormat="1" ht="15.75" x14ac:dyDescent="0.3">
      <c r="A112" s="710" t="s">
        <v>196</v>
      </c>
      <c r="B112" s="710" t="s">
        <v>51</v>
      </c>
      <c r="C112" s="710" t="s">
        <v>197</v>
      </c>
      <c r="D112" s="742" t="s">
        <v>198</v>
      </c>
      <c r="E112" s="713">
        <v>43909</v>
      </c>
    </row>
    <row r="113" spans="1:5" s="692" customFormat="1" x14ac:dyDescent="0.25">
      <c r="A113" s="710" t="s">
        <v>196</v>
      </c>
      <c r="B113" s="710" t="s">
        <v>105</v>
      </c>
      <c r="C113" s="710" t="s">
        <v>106</v>
      </c>
      <c r="D113" s="742" t="s">
        <v>199</v>
      </c>
      <c r="E113" s="664"/>
    </row>
    <row r="114" spans="1:5" s="692" customFormat="1" x14ac:dyDescent="0.25">
      <c r="A114" s="711" t="s">
        <v>196</v>
      </c>
      <c r="B114" s="711" t="s">
        <v>200</v>
      </c>
      <c r="C114" s="711" t="s">
        <v>106</v>
      </c>
      <c r="D114" s="743" t="s">
        <v>199</v>
      </c>
      <c r="E114" s="665"/>
    </row>
    <row r="116" spans="1:5" ht="15.75" x14ac:dyDescent="0.3">
      <c r="A116" s="4" t="s">
        <v>201</v>
      </c>
      <c r="B116" s="692"/>
      <c r="C116" s="692"/>
      <c r="D116" s="692"/>
      <c r="E116" s="692"/>
    </row>
    <row r="117" spans="1:5" ht="15.75" x14ac:dyDescent="0.3">
      <c r="A117" s="4" t="s">
        <v>202</v>
      </c>
      <c r="B117" s="692"/>
      <c r="C117" s="692"/>
      <c r="D117" s="692"/>
      <c r="E117" s="692"/>
    </row>
  </sheetData>
  <mergeCells count="1">
    <mergeCell ref="C2:F2"/>
  </mergeCell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M293"/>
  <sheetViews>
    <sheetView showGridLines="0" topLeftCell="A206" zoomScaleNormal="100" workbookViewId="0">
      <selection activeCell="C214" sqref="C214"/>
    </sheetView>
  </sheetViews>
  <sheetFormatPr defaultColWidth="9.140625" defaultRowHeight="15" x14ac:dyDescent="0.25"/>
  <cols>
    <col min="1" max="1" width="33.28515625" customWidth="1"/>
    <col min="2" max="2" width="43.140625" customWidth="1"/>
    <col min="3" max="3" width="12" customWidth="1"/>
    <col min="4" max="4" width="15.28515625" customWidth="1"/>
    <col min="5" max="5" width="13.42578125" customWidth="1"/>
    <col min="6" max="6" width="58.28515625" customWidth="1"/>
  </cols>
  <sheetData>
    <row r="1" spans="1:11" ht="72" customHeight="1" thickBot="1" x14ac:dyDescent="0.3">
      <c r="A1" s="471" t="s">
        <v>1501</v>
      </c>
      <c r="B1" s="471" t="s">
        <v>1502</v>
      </c>
      <c r="C1" s="692"/>
      <c r="D1" s="692"/>
      <c r="E1" s="692"/>
      <c r="F1" s="692"/>
      <c r="G1" s="692"/>
      <c r="H1" s="692"/>
      <c r="I1" s="692"/>
      <c r="J1" s="692"/>
      <c r="K1" s="692"/>
    </row>
    <row r="2" spans="1:11" ht="15.75" thickBot="1" x14ac:dyDescent="0.3">
      <c r="A2" s="18"/>
      <c r="B2" s="19"/>
      <c r="C2" s="19"/>
      <c r="D2" s="19"/>
      <c r="E2" s="19"/>
      <c r="F2" s="195"/>
      <c r="G2" s="709"/>
      <c r="H2" s="709"/>
      <c r="I2" s="709"/>
      <c r="J2" s="709"/>
      <c r="K2" s="709"/>
    </row>
    <row r="3" spans="1:11" ht="15.75" thickBot="1" x14ac:dyDescent="0.3">
      <c r="A3" s="36" t="s">
        <v>1807</v>
      </c>
      <c r="B3" s="47" t="s">
        <v>277</v>
      </c>
      <c r="C3" s="179"/>
      <c r="D3" s="90"/>
      <c r="E3" s="35"/>
      <c r="F3" s="686"/>
      <c r="G3" s="709"/>
      <c r="H3" s="709"/>
      <c r="I3" s="709"/>
      <c r="J3" s="709"/>
      <c r="K3" s="709"/>
    </row>
    <row r="4" spans="1:11" ht="15.75" thickBot="1" x14ac:dyDescent="0.3">
      <c r="A4" s="17"/>
      <c r="B4" s="180" t="s">
        <v>229</v>
      </c>
      <c r="C4" s="386"/>
      <c r="D4" s="159"/>
      <c r="E4" s="159"/>
      <c r="F4" s="231"/>
      <c r="G4" s="709"/>
      <c r="H4" s="709"/>
      <c r="I4" s="709"/>
      <c r="J4" s="709"/>
      <c r="K4" s="709"/>
    </row>
    <row r="5" spans="1:11" x14ac:dyDescent="0.25">
      <c r="A5" s="36"/>
      <c r="B5" s="122"/>
      <c r="C5" s="162"/>
      <c r="D5" s="90"/>
      <c r="E5" s="90"/>
      <c r="F5" s="232"/>
      <c r="G5" s="709"/>
      <c r="H5" s="709"/>
      <c r="I5" s="709"/>
      <c r="J5" s="709"/>
      <c r="K5" s="709"/>
    </row>
    <row r="6" spans="1:11" x14ac:dyDescent="0.25">
      <c r="A6" s="36"/>
      <c r="B6" s="682" t="s">
        <v>1808</v>
      </c>
      <c r="C6" s="182"/>
      <c r="D6" s="91"/>
      <c r="E6" s="90"/>
      <c r="F6" s="232"/>
      <c r="G6" s="709"/>
      <c r="H6" s="709"/>
      <c r="I6" s="709"/>
      <c r="J6" s="709"/>
      <c r="K6" s="709"/>
    </row>
    <row r="7" spans="1:11" ht="15.75" thickBot="1" x14ac:dyDescent="0.3">
      <c r="A7" s="36"/>
      <c r="B7" s="122"/>
      <c r="C7" s="162"/>
      <c r="D7" s="90"/>
      <c r="E7" s="90"/>
      <c r="F7" s="232"/>
      <c r="G7" s="709"/>
      <c r="H7" s="709"/>
      <c r="I7" s="709"/>
      <c r="J7" s="709"/>
      <c r="K7" s="709"/>
    </row>
    <row r="8" spans="1:11" ht="16.5" thickBot="1" x14ac:dyDescent="0.35">
      <c r="A8" s="31"/>
      <c r="B8" s="30" t="s">
        <v>1809</v>
      </c>
      <c r="C8" s="395">
        <f>'Input Data'!E69</f>
        <v>0</v>
      </c>
      <c r="D8" s="47" t="s">
        <v>371</v>
      </c>
      <c r="E8" s="30"/>
      <c r="F8" s="233"/>
      <c r="G8" s="709"/>
      <c r="H8" s="709"/>
      <c r="I8" s="709"/>
      <c r="J8" s="709"/>
      <c r="K8" s="709"/>
    </row>
    <row r="9" spans="1:11" ht="16.5" thickBot="1" x14ac:dyDescent="0.35">
      <c r="A9" s="30"/>
      <c r="B9" s="30" t="s">
        <v>1810</v>
      </c>
      <c r="C9" s="395">
        <f>'Input Data'!E70</f>
        <v>0</v>
      </c>
      <c r="D9" s="47" t="s">
        <v>536</v>
      </c>
      <c r="E9" s="30"/>
      <c r="F9" s="233"/>
      <c r="G9" s="709"/>
      <c r="H9" s="709"/>
      <c r="I9" s="709"/>
      <c r="J9" s="709"/>
      <c r="K9" s="709"/>
    </row>
    <row r="10" spans="1:11" ht="16.5" thickBot="1" x14ac:dyDescent="0.35">
      <c r="A10" s="30"/>
      <c r="B10" s="30" t="s">
        <v>538</v>
      </c>
      <c r="C10" s="395">
        <f>'Input Data'!E71</f>
        <v>0</v>
      </c>
      <c r="D10" s="47" t="s">
        <v>539</v>
      </c>
      <c r="E10" s="30"/>
      <c r="F10" s="233"/>
      <c r="G10" s="709"/>
      <c r="H10" s="709"/>
      <c r="I10" s="709"/>
      <c r="J10" s="709"/>
      <c r="K10" s="709"/>
    </row>
    <row r="11" spans="1:11" ht="15.75" x14ac:dyDescent="0.3">
      <c r="A11" s="30"/>
      <c r="B11" s="30" t="s">
        <v>1811</v>
      </c>
      <c r="C11" s="392">
        <f>IF(C8=0,0,((C9/C8)/C10)*12)</f>
        <v>0</v>
      </c>
      <c r="D11" s="91" t="s">
        <v>1812</v>
      </c>
      <c r="E11" s="30"/>
      <c r="F11" s="233"/>
      <c r="G11" s="709"/>
      <c r="H11" s="709"/>
      <c r="I11" s="709"/>
      <c r="J11" s="709"/>
      <c r="K11" s="709"/>
    </row>
    <row r="12" spans="1:11" ht="16.5" thickBot="1" x14ac:dyDescent="0.35">
      <c r="A12" s="30"/>
      <c r="B12" s="30"/>
      <c r="C12" s="396"/>
      <c r="D12" s="47"/>
      <c r="E12" s="30"/>
      <c r="F12" s="233"/>
      <c r="G12" s="709"/>
      <c r="H12" s="709"/>
      <c r="I12" s="709"/>
      <c r="J12" s="709"/>
      <c r="K12" s="709"/>
    </row>
    <row r="13" spans="1:11" ht="16.5" thickBot="1" x14ac:dyDescent="0.35">
      <c r="A13" s="30"/>
      <c r="B13" s="30" t="s">
        <v>541</v>
      </c>
      <c r="C13" s="395">
        <f>'Input Data'!E72</f>
        <v>0</v>
      </c>
      <c r="D13" s="47" t="s">
        <v>371</v>
      </c>
      <c r="E13" s="30"/>
      <c r="F13" s="233"/>
      <c r="G13" s="709"/>
      <c r="H13" s="709"/>
      <c r="I13" s="709"/>
      <c r="J13" s="709"/>
      <c r="K13" s="709"/>
    </row>
    <row r="14" spans="1:11" ht="16.5" thickBot="1" x14ac:dyDescent="0.35">
      <c r="A14" s="30"/>
      <c r="B14" s="30" t="s">
        <v>1813</v>
      </c>
      <c r="C14" s="395">
        <f>'Input Data'!E73</f>
        <v>0</v>
      </c>
      <c r="D14" s="47" t="s">
        <v>536</v>
      </c>
      <c r="E14" s="30"/>
      <c r="F14" s="233"/>
      <c r="G14" s="709"/>
      <c r="H14" s="709"/>
      <c r="I14" s="709"/>
      <c r="J14" s="709"/>
      <c r="K14" s="709"/>
    </row>
    <row r="15" spans="1:11" ht="16.5" thickBot="1" x14ac:dyDescent="0.35">
      <c r="A15" s="30"/>
      <c r="B15" s="30" t="s">
        <v>546</v>
      </c>
      <c r="C15" s="395">
        <f>'Input Data'!E74</f>
        <v>0</v>
      </c>
      <c r="D15" s="47" t="s">
        <v>539</v>
      </c>
      <c r="E15" s="30"/>
      <c r="F15" s="233"/>
      <c r="G15" s="709"/>
      <c r="H15" s="709"/>
      <c r="I15" s="709"/>
      <c r="J15" s="709"/>
      <c r="K15" s="709"/>
    </row>
    <row r="16" spans="1:11" ht="15.75" x14ac:dyDescent="0.3">
      <c r="A16" s="30"/>
      <c r="B16" s="30" t="s">
        <v>1814</v>
      </c>
      <c r="C16" s="392">
        <f>IF(C14=0,0,((C14/C13)/C15)*12)</f>
        <v>0</v>
      </c>
      <c r="D16" s="91" t="s">
        <v>1812</v>
      </c>
      <c r="E16" s="30"/>
      <c r="F16" s="225"/>
      <c r="G16" s="709"/>
      <c r="H16" s="709"/>
      <c r="I16" s="709"/>
      <c r="J16" s="709"/>
      <c r="K16" s="709"/>
    </row>
    <row r="17" spans="1:11" ht="16.5" thickBot="1" x14ac:dyDescent="0.35">
      <c r="A17" s="30"/>
      <c r="B17" s="30"/>
      <c r="C17" s="396"/>
      <c r="D17" s="47"/>
      <c r="E17" s="30"/>
      <c r="F17" s="225"/>
      <c r="G17" s="709"/>
      <c r="H17" s="709"/>
      <c r="I17" s="709"/>
      <c r="J17" s="709"/>
      <c r="K17" s="709"/>
    </row>
    <row r="18" spans="1:11" ht="16.5" thickBot="1" x14ac:dyDescent="0.35">
      <c r="A18" s="43"/>
      <c r="B18" s="262" t="s">
        <v>1815</v>
      </c>
      <c r="C18" s="391" t="e">
        <f>(C11*C8+C16*C13)/(C8+C13)</f>
        <v>#DIV/0!</v>
      </c>
      <c r="D18" s="263" t="s">
        <v>1812</v>
      </c>
      <c r="E18" s="16"/>
      <c r="F18" s="234"/>
      <c r="G18" s="709"/>
      <c r="H18" s="709"/>
      <c r="I18" s="709"/>
      <c r="J18" s="709"/>
      <c r="K18" s="709"/>
    </row>
    <row r="19" spans="1:11" ht="15.75" thickBot="1" x14ac:dyDescent="0.3">
      <c r="A19" s="692"/>
      <c r="B19" s="692"/>
      <c r="C19" s="397"/>
      <c r="D19" s="692"/>
      <c r="E19" s="119"/>
      <c r="F19" s="51"/>
      <c r="G19" s="14"/>
      <c r="H19" s="709"/>
      <c r="I19" s="709"/>
      <c r="J19" s="709"/>
      <c r="K19" s="709"/>
    </row>
    <row r="20" spans="1:11" s="13" customFormat="1" ht="15.75" thickBot="1" x14ac:dyDescent="0.3">
      <c r="A20" s="18" t="s">
        <v>278</v>
      </c>
      <c r="B20" s="19" t="s">
        <v>229</v>
      </c>
      <c r="C20" s="19" t="s">
        <v>232</v>
      </c>
      <c r="D20" s="19" t="s">
        <v>342</v>
      </c>
      <c r="E20" s="19" t="s">
        <v>231</v>
      </c>
      <c r="F20" s="195" t="s">
        <v>344</v>
      </c>
      <c r="G20" s="14"/>
      <c r="H20" s="709"/>
      <c r="I20" s="709"/>
      <c r="J20" s="709"/>
      <c r="K20" s="709"/>
    </row>
    <row r="21" spans="1:11" s="13" customFormat="1" ht="54.75" thickBot="1" x14ac:dyDescent="0.3">
      <c r="A21" s="1420" t="s">
        <v>1503</v>
      </c>
      <c r="B21" s="1422" t="s">
        <v>1816</v>
      </c>
      <c r="C21" s="399" t="str">
        <f>IF(AND(C24=0),"-",TEXT(C23,0))&amp;"/"&amp;IF(C31=0,"-",TEXT(C29,0))</f>
        <v>-/-</v>
      </c>
      <c r="D21" s="1423" t="s">
        <v>1812</v>
      </c>
      <c r="E21" s="604"/>
      <c r="F21" s="196"/>
      <c r="G21" s="14"/>
      <c r="H21" s="709"/>
      <c r="I21" s="709"/>
      <c r="J21" s="709"/>
      <c r="K21" s="709"/>
    </row>
    <row r="22" spans="1:11" s="13" customFormat="1" ht="15.75" thickBot="1" x14ac:dyDescent="0.3">
      <c r="A22" s="1006" t="s">
        <v>1817</v>
      </c>
      <c r="B22" s="180" t="s">
        <v>229</v>
      </c>
      <c r="C22" s="386"/>
      <c r="D22" s="159"/>
      <c r="E22" s="159"/>
      <c r="F22" s="231"/>
      <c r="G22" s="14"/>
      <c r="H22" s="709"/>
      <c r="I22" s="709"/>
      <c r="J22" s="709"/>
      <c r="K22" s="709"/>
    </row>
    <row r="23" spans="1:11" s="13" customFormat="1" ht="27.75" thickBot="1" x14ac:dyDescent="0.3">
      <c r="A23" s="681"/>
      <c r="B23" s="260" t="s">
        <v>1818</v>
      </c>
      <c r="C23" s="395">
        <f>'Input Data'!E75</f>
        <v>0</v>
      </c>
      <c r="D23" s="1421" t="s">
        <v>549</v>
      </c>
      <c r="E23" s="111"/>
      <c r="F23" s="686" t="s">
        <v>1819</v>
      </c>
      <c r="G23" s="14"/>
      <c r="H23" s="709"/>
      <c r="I23" s="709"/>
      <c r="J23" s="709"/>
      <c r="K23" s="709"/>
    </row>
    <row r="24" spans="1:11" s="13" customFormat="1" ht="15.75" thickBot="1" x14ac:dyDescent="0.3">
      <c r="A24" s="681"/>
      <c r="B24" s="260" t="s">
        <v>1809</v>
      </c>
      <c r="C24" s="436">
        <f>'Input Data'!E69</f>
        <v>0</v>
      </c>
      <c r="D24" s="1423"/>
      <c r="E24" s="111"/>
      <c r="F24" s="686"/>
      <c r="G24" s="14"/>
      <c r="H24" s="709"/>
      <c r="I24" s="709"/>
      <c r="J24" s="709"/>
      <c r="K24" s="709"/>
    </row>
    <row r="25" spans="1:11" s="13" customFormat="1" ht="15.75" thickBot="1" x14ac:dyDescent="0.3">
      <c r="A25" s="681"/>
      <c r="B25" s="260" t="s">
        <v>1820</v>
      </c>
      <c r="C25" s="436">
        <f>'Input Data'!E70</f>
        <v>0</v>
      </c>
      <c r="D25" s="1423"/>
      <c r="E25" s="111"/>
      <c r="F25" s="686"/>
      <c r="G25" s="14"/>
      <c r="H25" s="709"/>
      <c r="I25" s="709"/>
      <c r="J25" s="709"/>
      <c r="K25" s="709"/>
    </row>
    <row r="26" spans="1:11" s="13" customFormat="1" ht="16.5" thickBot="1" x14ac:dyDescent="0.35">
      <c r="A26" s="1007" t="s">
        <v>276</v>
      </c>
      <c r="B26" s="262" t="s">
        <v>1821</v>
      </c>
      <c r="C26" s="391" t="str">
        <f>IF(AND(C24=0),"-",(C25)/(C24))</f>
        <v>-</v>
      </c>
      <c r="D26" s="263" t="s">
        <v>1822</v>
      </c>
      <c r="E26" s="16" t="str">
        <f>IF(AND(C24=0),"",IF(C26&lt;C23,"NOT COMPLIANT","COMPLIANT"))</f>
        <v/>
      </c>
      <c r="F26" s="234"/>
      <c r="G26" s="14"/>
      <c r="H26" s="709"/>
      <c r="I26" s="709"/>
      <c r="J26" s="709"/>
      <c r="K26" s="709"/>
    </row>
    <row r="27" spans="1:11" s="13" customFormat="1" ht="15.75" thickBot="1" x14ac:dyDescent="0.3">
      <c r="A27" s="692"/>
      <c r="B27" s="692"/>
      <c r="C27" s="397"/>
      <c r="D27" s="692"/>
      <c r="E27" s="119"/>
      <c r="F27" s="51"/>
      <c r="G27" s="14"/>
      <c r="H27" s="709"/>
      <c r="I27" s="709"/>
      <c r="J27" s="709"/>
      <c r="K27" s="709"/>
    </row>
    <row r="28" spans="1:11" s="13" customFormat="1" ht="15.75" thickBot="1" x14ac:dyDescent="0.3">
      <c r="A28" s="860" t="s">
        <v>1823</v>
      </c>
      <c r="B28" s="19" t="s">
        <v>229</v>
      </c>
      <c r="C28" s="19" t="s">
        <v>232</v>
      </c>
      <c r="D28" s="19" t="s">
        <v>342</v>
      </c>
      <c r="E28" s="19" t="s">
        <v>231</v>
      </c>
      <c r="F28" s="195" t="s">
        <v>344</v>
      </c>
      <c r="G28" s="14"/>
      <c r="H28" s="709"/>
      <c r="I28" s="709"/>
      <c r="J28" s="709"/>
      <c r="K28" s="709"/>
    </row>
    <row r="29" spans="1:11" s="13" customFormat="1" ht="27.75" thickBot="1" x14ac:dyDescent="0.3">
      <c r="A29" s="681"/>
      <c r="B29" s="260" t="s">
        <v>1824</v>
      </c>
      <c r="C29" s="395">
        <f>'Input Data'!E76</f>
        <v>0</v>
      </c>
      <c r="D29" s="1421" t="s">
        <v>549</v>
      </c>
      <c r="E29" s="111"/>
      <c r="F29" s="686" t="s">
        <v>1819</v>
      </c>
      <c r="G29" s="709"/>
      <c r="H29" s="709"/>
      <c r="I29" s="709"/>
      <c r="J29" s="709"/>
      <c r="K29" s="709"/>
    </row>
    <row r="30" spans="1:11" s="13" customFormat="1" ht="15.75" thickBot="1" x14ac:dyDescent="0.3">
      <c r="A30" s="1006" t="s">
        <v>1817</v>
      </c>
      <c r="B30" s="180" t="s">
        <v>229</v>
      </c>
      <c r="C30" s="386"/>
      <c r="D30" s="159"/>
      <c r="E30" s="159"/>
      <c r="F30" s="231"/>
      <c r="G30" s="709"/>
      <c r="H30" s="709"/>
      <c r="I30" s="709"/>
      <c r="J30" s="709"/>
      <c r="K30" s="709"/>
    </row>
    <row r="31" spans="1:11" s="13" customFormat="1" ht="15.75" thickBot="1" x14ac:dyDescent="0.3">
      <c r="A31" s="681"/>
      <c r="B31" s="260" t="s">
        <v>541</v>
      </c>
      <c r="C31" s="436">
        <f>'Input Data'!E72</f>
        <v>0</v>
      </c>
      <c r="D31" s="1423"/>
      <c r="E31" s="111"/>
      <c r="F31" s="686"/>
      <c r="G31" s="709"/>
      <c r="H31" s="709"/>
      <c r="I31" s="709"/>
      <c r="J31" s="709"/>
      <c r="K31" s="709"/>
    </row>
    <row r="32" spans="1:11" s="13" customFormat="1" ht="15.75" thickBot="1" x14ac:dyDescent="0.3">
      <c r="A32" s="681"/>
      <c r="B32" s="260" t="s">
        <v>1825</v>
      </c>
      <c r="C32" s="436">
        <f>'Input Data'!E73</f>
        <v>0</v>
      </c>
      <c r="D32" s="1423"/>
      <c r="E32" s="111"/>
      <c r="F32" s="686"/>
      <c r="G32" s="709"/>
      <c r="H32" s="709"/>
      <c r="I32" s="709"/>
      <c r="J32" s="709"/>
      <c r="K32" s="709"/>
    </row>
    <row r="33" spans="1:11" s="13" customFormat="1" ht="16.5" thickBot="1" x14ac:dyDescent="0.35">
      <c r="A33" s="1007" t="s">
        <v>276</v>
      </c>
      <c r="B33" s="262" t="s">
        <v>1826</v>
      </c>
      <c r="C33" s="391" t="str">
        <f>IF(C31=0,"-",(C32)/(C31))</f>
        <v>-</v>
      </c>
      <c r="D33" s="263" t="s">
        <v>1822</v>
      </c>
      <c r="E33" s="16" t="str">
        <f>IF(C31=0,"",IF(C33&lt;C29,"NOT COMPLIANT","COMPLIANT"))</f>
        <v/>
      </c>
      <c r="F33" s="602"/>
      <c r="G33" s="709"/>
      <c r="H33" s="709"/>
      <c r="I33" s="709"/>
      <c r="J33" s="709"/>
      <c r="K33" s="709"/>
    </row>
    <row r="34" spans="1:11" s="13" customFormat="1" ht="16.5" thickBot="1" x14ac:dyDescent="0.35">
      <c r="A34" s="1008" t="s">
        <v>276</v>
      </c>
      <c r="B34" s="262" t="s">
        <v>1816</v>
      </c>
      <c r="C34" s="472" t="str">
        <f>TEXT(C26,0)&amp;"/"&amp;TEXT(C33,0)</f>
        <v>-/-</v>
      </c>
      <c r="D34" s="263" t="s">
        <v>1822</v>
      </c>
      <c r="E34" s="473" t="str">
        <f>IF(OR(AND(E26="",E33="COMPLIANT"),AND(E26="COMPLIANT",E33=""),AND(E26="COMPLIANT",E33="COMPLIANT")),"COMPLIANT","NON COMPLIANT")</f>
        <v>NON COMPLIANT</v>
      </c>
      <c r="F34" s="603"/>
      <c r="G34" s="709"/>
      <c r="H34" s="709"/>
      <c r="I34" s="709"/>
      <c r="J34" s="709"/>
      <c r="K34" s="709"/>
    </row>
    <row r="35" spans="1:11" ht="15.75" thickBot="1" x14ac:dyDescent="0.3">
      <c r="A35" s="692"/>
      <c r="B35" s="692"/>
      <c r="C35" s="397"/>
      <c r="D35" s="692"/>
      <c r="E35" s="119"/>
      <c r="F35" s="51"/>
      <c r="G35" s="709"/>
      <c r="H35" s="709"/>
      <c r="I35" s="709"/>
      <c r="J35" s="709"/>
      <c r="K35" s="709"/>
    </row>
    <row r="36" spans="1:11" s="692" customFormat="1" ht="15.75" thickBot="1" x14ac:dyDescent="0.3">
      <c r="A36" s="860" t="s">
        <v>278</v>
      </c>
      <c r="B36" s="19" t="s">
        <v>229</v>
      </c>
      <c r="C36" s="500" t="s">
        <v>232</v>
      </c>
      <c r="D36" s="19" t="s">
        <v>342</v>
      </c>
      <c r="E36" s="19" t="s">
        <v>1265</v>
      </c>
      <c r="F36" s="195" t="s">
        <v>344</v>
      </c>
      <c r="G36" s="709"/>
      <c r="H36" s="709"/>
      <c r="I36" s="709"/>
      <c r="J36" s="709"/>
      <c r="K36" s="709"/>
    </row>
    <row r="37" spans="1:11" s="692" customFormat="1" ht="68.25" thickBot="1" x14ac:dyDescent="0.3">
      <c r="A37" s="6" t="s">
        <v>1827</v>
      </c>
      <c r="B37" s="679" t="s">
        <v>280</v>
      </c>
      <c r="C37" s="394" t="s">
        <v>1381</v>
      </c>
      <c r="D37" s="1423" t="s">
        <v>210</v>
      </c>
      <c r="E37" s="1423"/>
      <c r="F37" s="686" t="s">
        <v>1828</v>
      </c>
      <c r="G37" s="709"/>
      <c r="H37" s="709"/>
      <c r="I37" s="709"/>
      <c r="J37" s="709"/>
      <c r="K37" s="709"/>
    </row>
    <row r="38" spans="1:11" s="692" customFormat="1" ht="15.75" thickBot="1" x14ac:dyDescent="0.3">
      <c r="A38" s="1006" t="s">
        <v>1505</v>
      </c>
      <c r="B38" s="156" t="s">
        <v>229</v>
      </c>
      <c r="C38" s="492"/>
      <c r="D38" s="3"/>
      <c r="E38" s="3"/>
      <c r="F38" s="239"/>
      <c r="G38" s="709"/>
      <c r="H38" s="709"/>
      <c r="I38" s="709"/>
      <c r="J38" s="709"/>
      <c r="K38" s="709"/>
    </row>
    <row r="39" spans="1:11" s="692" customFormat="1" ht="15.75" thickBot="1" x14ac:dyDescent="0.3">
      <c r="A39" s="38"/>
      <c r="B39" s="37"/>
      <c r="C39" s="501"/>
      <c r="D39" s="37"/>
      <c r="E39" s="37"/>
      <c r="F39" s="240"/>
      <c r="G39" s="709"/>
      <c r="H39" s="709"/>
      <c r="I39" s="709"/>
      <c r="J39" s="709"/>
      <c r="K39" s="709"/>
    </row>
    <row r="40" spans="1:11" s="692" customFormat="1" ht="15.75" thickBot="1" x14ac:dyDescent="0.3">
      <c r="A40" s="679"/>
      <c r="B40" s="679" t="s">
        <v>555</v>
      </c>
      <c r="C40" s="385">
        <f>'Input Data'!$E$77</f>
        <v>0</v>
      </c>
      <c r="D40" s="66" t="s">
        <v>210</v>
      </c>
      <c r="E40" s="679"/>
      <c r="F40" s="209"/>
      <c r="G40" s="709"/>
      <c r="H40" s="709"/>
      <c r="I40" s="709"/>
      <c r="J40" s="709"/>
      <c r="K40" s="709"/>
    </row>
    <row r="41" spans="1:11" s="692" customFormat="1" ht="15.75" thickBot="1" x14ac:dyDescent="0.3">
      <c r="A41" s="679"/>
      <c r="B41" s="679" t="s">
        <v>557</v>
      </c>
      <c r="C41" s="385">
        <f>'Input Data'!$E$78</f>
        <v>0</v>
      </c>
      <c r="D41" s="66" t="s">
        <v>210</v>
      </c>
      <c r="E41" s="679"/>
      <c r="F41" s="209"/>
      <c r="G41" s="709"/>
      <c r="H41" s="709"/>
      <c r="I41" s="709"/>
      <c r="J41" s="709"/>
      <c r="K41" s="709"/>
    </row>
    <row r="42" spans="1:11" s="692" customFormat="1" ht="122.25" thickBot="1" x14ac:dyDescent="0.3">
      <c r="A42" s="679"/>
      <c r="B42" s="679" t="s">
        <v>1506</v>
      </c>
      <c r="C42" s="390" t="e">
        <f>(0.98)*(100-20*C40/(100-C40))*(1.5-50/C41)</f>
        <v>#DIV/0!</v>
      </c>
      <c r="D42" s="66" t="s">
        <v>210</v>
      </c>
      <c r="E42" s="679"/>
      <c r="F42" s="686" t="s">
        <v>1829</v>
      </c>
      <c r="G42" s="709"/>
      <c r="H42" s="709"/>
      <c r="I42" s="709"/>
      <c r="J42" s="709"/>
      <c r="K42" s="709"/>
    </row>
    <row r="43" spans="1:11" s="692" customFormat="1" ht="15.75" thickBot="1" x14ac:dyDescent="0.3">
      <c r="A43" s="679"/>
      <c r="B43" s="679" t="s">
        <v>559</v>
      </c>
      <c r="C43" s="385">
        <f>'Input Data'!$E$79</f>
        <v>0</v>
      </c>
      <c r="D43" s="66" t="s">
        <v>210</v>
      </c>
      <c r="E43" s="8"/>
      <c r="F43" s="203"/>
      <c r="G43" s="709"/>
      <c r="H43" s="709"/>
      <c r="I43" s="709"/>
      <c r="J43" s="709"/>
      <c r="K43" s="709"/>
    </row>
    <row r="44" spans="1:11" s="692" customFormat="1" ht="15.75" thickBot="1" x14ac:dyDescent="0.3">
      <c r="A44" s="679"/>
      <c r="B44" s="679"/>
      <c r="C44" s="502"/>
      <c r="D44" s="66"/>
      <c r="E44" s="679"/>
      <c r="F44" s="202"/>
      <c r="G44" s="709"/>
      <c r="H44" s="709"/>
      <c r="I44" s="709"/>
      <c r="J44" s="709"/>
      <c r="K44" s="709"/>
    </row>
    <row r="45" spans="1:11" s="692" customFormat="1" ht="15.75" thickBot="1" x14ac:dyDescent="0.3">
      <c r="A45" s="873" t="s">
        <v>279</v>
      </c>
      <c r="B45" s="128" t="s">
        <v>280</v>
      </c>
      <c r="C45" s="391" t="e">
        <f>C42*C43/100</f>
        <v>#DIV/0!</v>
      </c>
      <c r="D45" s="133" t="s">
        <v>210</v>
      </c>
      <c r="E45" s="16" t="str">
        <f>IF(OR('Input Data'!E16=0,C43=0),"",IF(C45&gt;10,"COMPLIANT","NOT COMPLIANT"))</f>
        <v/>
      </c>
      <c r="F45" s="206"/>
      <c r="G45" s="709"/>
      <c r="H45" s="709"/>
      <c r="I45" s="709"/>
      <c r="J45" s="709"/>
      <c r="K45" s="709"/>
    </row>
    <row r="46" spans="1:11" s="692" customFormat="1" ht="15.75" thickBot="1" x14ac:dyDescent="0.3">
      <c r="C46" s="397"/>
      <c r="E46" s="119"/>
      <c r="F46" s="51"/>
      <c r="G46" s="709"/>
      <c r="H46" s="709"/>
      <c r="I46" s="709"/>
      <c r="J46" s="709"/>
      <c r="K46" s="709"/>
    </row>
    <row r="47" spans="1:11" s="692" customFormat="1" ht="15.75" thickBot="1" x14ac:dyDescent="0.3">
      <c r="A47" s="860" t="s">
        <v>278</v>
      </c>
      <c r="B47" s="19" t="s">
        <v>229</v>
      </c>
      <c r="C47" s="500" t="s">
        <v>232</v>
      </c>
      <c r="D47" s="19" t="s">
        <v>342</v>
      </c>
      <c r="E47" s="19" t="s">
        <v>1265</v>
      </c>
      <c r="F47" s="195" t="s">
        <v>344</v>
      </c>
      <c r="G47" s="709"/>
      <c r="H47" s="709"/>
      <c r="I47" s="709"/>
      <c r="J47" s="709"/>
      <c r="K47" s="709"/>
    </row>
    <row r="48" spans="1:11" s="692" customFormat="1" ht="68.25" thickBot="1" x14ac:dyDescent="0.3">
      <c r="A48" s="6" t="s">
        <v>1827</v>
      </c>
      <c r="B48" s="6" t="s">
        <v>1508</v>
      </c>
      <c r="C48" s="394" t="s">
        <v>1509</v>
      </c>
      <c r="D48" s="1423" t="s">
        <v>1510</v>
      </c>
      <c r="E48" s="35"/>
      <c r="F48" s="199" t="s">
        <v>1511</v>
      </c>
      <c r="G48" s="709"/>
      <c r="H48" s="709"/>
      <c r="I48" s="709"/>
      <c r="J48" s="709"/>
      <c r="K48" s="709"/>
    </row>
    <row r="49" spans="1:11" s="692" customFormat="1" ht="15.75" thickBot="1" x14ac:dyDescent="0.3">
      <c r="A49" s="1006" t="s">
        <v>1512</v>
      </c>
      <c r="B49" s="156" t="s">
        <v>229</v>
      </c>
      <c r="C49" s="492"/>
      <c r="D49" s="3"/>
      <c r="E49" s="3"/>
      <c r="F49" s="222"/>
      <c r="G49" s="709"/>
      <c r="H49" s="709"/>
      <c r="I49" s="709"/>
      <c r="J49" s="709"/>
      <c r="K49" s="709"/>
    </row>
    <row r="50" spans="1:11" s="692" customFormat="1" ht="15.75" thickBot="1" x14ac:dyDescent="0.3">
      <c r="A50" s="38"/>
      <c r="B50" s="37"/>
      <c r="C50" s="501"/>
      <c r="D50" s="37"/>
      <c r="E50" s="37"/>
      <c r="F50" s="223"/>
      <c r="G50" s="709"/>
      <c r="H50" s="709"/>
      <c r="I50" s="709"/>
      <c r="J50" s="709"/>
      <c r="K50" s="709"/>
    </row>
    <row r="51" spans="1:11" s="692" customFormat="1" ht="27.75" thickBot="1" x14ac:dyDescent="0.3">
      <c r="A51" s="38"/>
      <c r="B51" s="679" t="s">
        <v>1830</v>
      </c>
      <c r="C51" s="385">
        <f>'Input Data'!E80</f>
        <v>0</v>
      </c>
      <c r="D51" s="47" t="s">
        <v>210</v>
      </c>
      <c r="E51" s="47"/>
      <c r="F51" s="686" t="s">
        <v>1513</v>
      </c>
      <c r="G51" s="709"/>
      <c r="H51" s="709"/>
      <c r="I51" s="709"/>
      <c r="J51" s="709"/>
      <c r="K51" s="709"/>
    </row>
    <row r="52" spans="1:11" s="692" customFormat="1" x14ac:dyDescent="0.25">
      <c r="A52" s="38"/>
      <c r="B52" s="679"/>
      <c r="C52" s="504"/>
      <c r="D52" s="8"/>
      <c r="E52" s="679"/>
      <c r="F52" s="207"/>
      <c r="G52" s="709"/>
      <c r="H52" s="709"/>
      <c r="I52" s="709"/>
      <c r="J52" s="709"/>
      <c r="K52" s="709"/>
    </row>
    <row r="53" spans="1:11" s="692" customFormat="1" ht="15.75" thickBot="1" x14ac:dyDescent="0.3">
      <c r="A53" s="679"/>
      <c r="B53" s="679" t="s">
        <v>559</v>
      </c>
      <c r="C53" s="504">
        <f>'P3 Agric'!C43</f>
        <v>0</v>
      </c>
      <c r="D53" s="679" t="s">
        <v>210</v>
      </c>
      <c r="E53" s="8"/>
      <c r="F53" s="203"/>
      <c r="G53" s="709"/>
      <c r="H53" s="709"/>
      <c r="I53" s="709"/>
      <c r="J53" s="709"/>
      <c r="K53" s="709"/>
    </row>
    <row r="54" spans="1:11" s="692" customFormat="1" ht="15.75" thickBot="1" x14ac:dyDescent="0.3">
      <c r="A54" s="679"/>
      <c r="B54" s="679" t="s">
        <v>565</v>
      </c>
      <c r="C54" s="385">
        <f>'Input Data'!E81</f>
        <v>0</v>
      </c>
      <c r="D54" s="679" t="s">
        <v>210</v>
      </c>
      <c r="E54" s="8"/>
      <c r="F54" s="209" t="s">
        <v>566</v>
      </c>
      <c r="G54" s="709"/>
      <c r="H54" s="709"/>
      <c r="I54" s="709"/>
      <c r="J54" s="709"/>
      <c r="K54" s="709"/>
    </row>
    <row r="55" spans="1:11" s="692" customFormat="1" x14ac:dyDescent="0.25">
      <c r="A55" s="679"/>
      <c r="B55" s="679" t="s">
        <v>1830</v>
      </c>
      <c r="C55" s="390">
        <f>IF(C51=0,C53/0.95+C54/100*C53,C51)</f>
        <v>0</v>
      </c>
      <c r="D55" s="679" t="s">
        <v>210</v>
      </c>
      <c r="E55" s="679"/>
      <c r="F55" s="202"/>
      <c r="G55" s="709"/>
      <c r="H55" s="709"/>
      <c r="I55" s="709"/>
      <c r="J55" s="709"/>
      <c r="K55" s="709"/>
    </row>
    <row r="56" spans="1:11" s="692" customFormat="1" ht="15.75" thickBot="1" x14ac:dyDescent="0.3">
      <c r="A56" s="679"/>
      <c r="B56" s="679"/>
      <c r="C56" s="390"/>
      <c r="D56" s="679"/>
      <c r="E56" s="679"/>
      <c r="F56" s="202"/>
      <c r="G56" s="709"/>
      <c r="H56" s="709"/>
      <c r="I56" s="709"/>
      <c r="J56" s="709"/>
      <c r="K56" s="709"/>
    </row>
    <row r="57" spans="1:11" s="692" customFormat="1" ht="27.75" thickBot="1" x14ac:dyDescent="0.3">
      <c r="A57" s="873" t="s">
        <v>281</v>
      </c>
      <c r="B57" s="131" t="s">
        <v>1508</v>
      </c>
      <c r="C57" s="391">
        <f>C55*0.905*10</f>
        <v>0</v>
      </c>
      <c r="D57" s="132" t="s">
        <v>1510</v>
      </c>
      <c r="E57" s="16" t="str">
        <f>IF('Input Data'!E17=0,"",IF(C57&gt;120,"COMPLIANT","NOT COMPLIANT"))</f>
        <v/>
      </c>
      <c r="F57" s="224"/>
      <c r="G57" s="709"/>
      <c r="H57" s="709"/>
      <c r="I57" s="709"/>
      <c r="J57" s="709"/>
      <c r="K57" s="709"/>
    </row>
    <row r="58" spans="1:11" s="692" customFormat="1" ht="15.75" thickBot="1" x14ac:dyDescent="0.3">
      <c r="C58" s="397"/>
      <c r="E58" s="119"/>
      <c r="F58" s="51"/>
      <c r="G58" s="709"/>
      <c r="H58" s="709"/>
      <c r="I58" s="709"/>
      <c r="J58" s="709"/>
      <c r="K58" s="709"/>
    </row>
    <row r="59" spans="1:11" s="692" customFormat="1" ht="15.75" thickBot="1" x14ac:dyDescent="0.3">
      <c r="A59" s="860" t="s">
        <v>278</v>
      </c>
      <c r="B59" s="19" t="s">
        <v>229</v>
      </c>
      <c r="C59" s="500" t="s">
        <v>232</v>
      </c>
      <c r="D59" s="19" t="s">
        <v>342</v>
      </c>
      <c r="E59" s="19" t="s">
        <v>1265</v>
      </c>
      <c r="F59" s="195" t="s">
        <v>344</v>
      </c>
      <c r="G59" s="709"/>
      <c r="H59" s="709"/>
      <c r="I59" s="709"/>
      <c r="J59" s="709"/>
      <c r="K59" s="709"/>
    </row>
    <row r="60" spans="1:11" s="692" customFormat="1" ht="108.75" thickBot="1" x14ac:dyDescent="0.3">
      <c r="A60" s="6" t="s">
        <v>1827</v>
      </c>
      <c r="B60" s="26" t="s">
        <v>1831</v>
      </c>
      <c r="C60" s="531" t="s">
        <v>1832</v>
      </c>
      <c r="D60" s="1423"/>
      <c r="E60" s="35" t="str">
        <f>IF(AND(C66=0, C67=0, C68=0),"",IF(AND(C66&lt;16, C67&lt;24, C68&lt;48), "COMPLIANT", "NOT COMPLIANT"))</f>
        <v/>
      </c>
      <c r="F60" s="199"/>
      <c r="G60" s="709"/>
      <c r="H60" s="709"/>
      <c r="I60" s="709"/>
      <c r="J60" s="709"/>
      <c r="K60" s="709"/>
    </row>
    <row r="61" spans="1:11" s="692" customFormat="1" ht="15.75" thickBot="1" x14ac:dyDescent="0.3">
      <c r="A61" s="1006" t="s">
        <v>1833</v>
      </c>
      <c r="B61" s="156" t="s">
        <v>229</v>
      </c>
      <c r="C61" s="492"/>
      <c r="D61" s="3"/>
      <c r="E61" s="3"/>
      <c r="F61" s="222"/>
      <c r="G61" s="709"/>
      <c r="H61" s="709"/>
      <c r="I61" s="709"/>
      <c r="J61" s="709"/>
      <c r="K61" s="709"/>
    </row>
    <row r="62" spans="1:11" s="692" customFormat="1" ht="15.75" thickBot="1" x14ac:dyDescent="0.3">
      <c r="A62" s="38"/>
      <c r="B62" s="37"/>
      <c r="C62" s="501"/>
      <c r="D62" s="37"/>
      <c r="E62" s="37"/>
      <c r="F62" s="223"/>
      <c r="G62" s="709"/>
      <c r="H62" s="709"/>
      <c r="I62" s="709"/>
      <c r="J62" s="709"/>
      <c r="K62" s="709"/>
    </row>
    <row r="63" spans="1:11" s="692" customFormat="1" ht="15.75" thickBot="1" x14ac:dyDescent="0.3">
      <c r="A63" s="38"/>
      <c r="B63" s="679" t="s">
        <v>570</v>
      </c>
      <c r="C63" s="385">
        <f>'Input Data'!$E$82</f>
        <v>0</v>
      </c>
      <c r="D63" s="47" t="s">
        <v>371</v>
      </c>
      <c r="E63" s="47"/>
      <c r="F63" s="686"/>
      <c r="G63" s="709"/>
      <c r="H63" s="709"/>
      <c r="I63" s="709"/>
      <c r="J63" s="709"/>
      <c r="K63" s="709"/>
    </row>
    <row r="64" spans="1:11" s="692" customFormat="1" ht="15.75" thickBot="1" x14ac:dyDescent="0.3">
      <c r="A64" s="38"/>
      <c r="B64" s="679" t="s">
        <v>572</v>
      </c>
      <c r="C64" s="385">
        <f>'Input Data'!$E$83</f>
        <v>0</v>
      </c>
      <c r="D64" s="47" t="s">
        <v>371</v>
      </c>
      <c r="E64" s="679"/>
      <c r="F64" s="207"/>
      <c r="G64" s="709"/>
      <c r="H64" s="709"/>
      <c r="I64" s="709"/>
      <c r="J64" s="709"/>
      <c r="K64" s="709"/>
    </row>
    <row r="65" spans="1:11" s="692" customFormat="1" ht="15.75" thickBot="1" x14ac:dyDescent="0.3">
      <c r="A65" s="679"/>
      <c r="B65" s="679" t="s">
        <v>574</v>
      </c>
      <c r="C65" s="385">
        <f>'Input Data'!$E$84</f>
        <v>0</v>
      </c>
      <c r="D65" s="679" t="s">
        <v>371</v>
      </c>
      <c r="E65" s="8"/>
      <c r="F65" s="203"/>
      <c r="G65" s="709"/>
      <c r="H65" s="709"/>
      <c r="I65" s="709"/>
      <c r="J65" s="709"/>
      <c r="K65" s="709"/>
    </row>
    <row r="66" spans="1:11" s="692" customFormat="1" ht="15.75" thickBot="1" x14ac:dyDescent="0.3">
      <c r="A66" s="679"/>
      <c r="B66" s="679" t="s">
        <v>576</v>
      </c>
      <c r="C66" s="385">
        <f>'Input Data'!$E$85</f>
        <v>0</v>
      </c>
      <c r="D66" s="679" t="s">
        <v>577</v>
      </c>
      <c r="E66" s="8"/>
      <c r="F66" s="209"/>
      <c r="G66" s="709"/>
      <c r="H66" s="709"/>
      <c r="I66" s="709"/>
      <c r="J66" s="709"/>
      <c r="K66" s="709"/>
    </row>
    <row r="67" spans="1:11" s="692" customFormat="1" ht="15.75" thickBot="1" x14ac:dyDescent="0.3">
      <c r="A67" s="679"/>
      <c r="B67" s="679" t="s">
        <v>579</v>
      </c>
      <c r="C67" s="385">
        <f>'Input Data'!$E$86</f>
        <v>0</v>
      </c>
      <c r="D67" s="679" t="s">
        <v>577</v>
      </c>
      <c r="E67" s="679"/>
      <c r="F67" s="202"/>
      <c r="G67" s="709"/>
      <c r="H67" s="709"/>
      <c r="I67" s="709"/>
      <c r="J67" s="709"/>
      <c r="K67" s="709"/>
    </row>
    <row r="68" spans="1:11" s="692" customFormat="1" ht="15.75" thickBot="1" x14ac:dyDescent="0.3">
      <c r="A68" s="679"/>
      <c r="B68" s="679" t="s">
        <v>581</v>
      </c>
      <c r="C68" s="385">
        <f>'Input Data'!$E$87</f>
        <v>0</v>
      </c>
      <c r="D68" s="679" t="s">
        <v>577</v>
      </c>
      <c r="E68" s="679"/>
      <c r="F68" s="202"/>
      <c r="G68" s="709"/>
      <c r="H68" s="709"/>
      <c r="I68" s="709"/>
      <c r="J68" s="709"/>
      <c r="K68" s="709"/>
    </row>
    <row r="69" spans="1:11" s="692" customFormat="1" ht="15.75" thickBot="1" x14ac:dyDescent="0.3">
      <c r="A69" s="873" t="s">
        <v>283</v>
      </c>
      <c r="B69" s="131" t="s">
        <v>1831</v>
      </c>
      <c r="C69" s="391" t="str">
        <f>TEXT(C66,0)&amp;"/"&amp;TEXT(C67,0)&amp;"/"&amp;TEXT(C68,0)</f>
        <v>0/0/0</v>
      </c>
      <c r="D69" s="132" t="s">
        <v>577</v>
      </c>
      <c r="E69" s="16" t="str">
        <f>E60</f>
        <v/>
      </c>
      <c r="F69" s="224"/>
      <c r="G69" s="709"/>
      <c r="H69" s="709"/>
      <c r="I69" s="709"/>
      <c r="J69" s="709"/>
      <c r="K69" s="709"/>
    </row>
    <row r="70" spans="1:11" s="692" customFormat="1" ht="15.75" thickBot="1" x14ac:dyDescent="0.3">
      <c r="C70" s="397"/>
      <c r="E70" s="119"/>
      <c r="F70" s="51"/>
      <c r="G70" s="709"/>
      <c r="H70" s="709"/>
      <c r="I70" s="709"/>
      <c r="J70" s="709"/>
      <c r="K70" s="709"/>
    </row>
    <row r="71" spans="1:11" s="692" customFormat="1" ht="15.75" thickBot="1" x14ac:dyDescent="0.3">
      <c r="A71" s="860" t="s">
        <v>287</v>
      </c>
      <c r="B71" s="19" t="s">
        <v>229</v>
      </c>
      <c r="C71" s="500" t="s">
        <v>232</v>
      </c>
      <c r="D71" s="19" t="s">
        <v>342</v>
      </c>
      <c r="E71" s="19" t="s">
        <v>1265</v>
      </c>
      <c r="F71" s="195" t="s">
        <v>344</v>
      </c>
      <c r="G71" s="709"/>
      <c r="H71" s="709"/>
      <c r="I71" s="709"/>
      <c r="J71" s="709"/>
      <c r="K71" s="709"/>
    </row>
    <row r="72" spans="1:11" s="692" customFormat="1" ht="41.25" thickBot="1" x14ac:dyDescent="0.3">
      <c r="A72" s="6" t="s">
        <v>1547</v>
      </c>
      <c r="B72" s="26" t="s">
        <v>1548</v>
      </c>
      <c r="C72" s="531" t="s">
        <v>399</v>
      </c>
      <c r="D72" s="1423"/>
      <c r="E72" s="35" t="str">
        <f>IF($C$74="Yes","COMPLIANT","NOT COMPLIANT")</f>
        <v>COMPLIANT</v>
      </c>
      <c r="F72" s="199"/>
      <c r="G72" s="709"/>
      <c r="H72" s="709"/>
      <c r="I72" s="709"/>
      <c r="J72" s="709"/>
      <c r="K72" s="709"/>
    </row>
    <row r="73" spans="1:11" s="692" customFormat="1" ht="15.75" thickBot="1" x14ac:dyDescent="0.3">
      <c r="A73" s="1006" t="s">
        <v>1549</v>
      </c>
      <c r="B73" s="156" t="s">
        <v>229</v>
      </c>
      <c r="C73" s="1015"/>
      <c r="D73" s="3"/>
      <c r="E73" s="3"/>
      <c r="F73" s="222"/>
      <c r="G73" s="709"/>
      <c r="H73" s="709"/>
      <c r="I73" s="709"/>
      <c r="J73" s="709"/>
      <c r="K73" s="709"/>
    </row>
    <row r="74" spans="1:11" ht="15.75" thickBot="1" x14ac:dyDescent="0.3">
      <c r="A74" s="873" t="s">
        <v>285</v>
      </c>
      <c r="B74" s="131" t="s">
        <v>1548</v>
      </c>
      <c r="C74" s="1017" t="str">
        <f>IF(ISBLANK('Input Data'!$E$116), "", 'Input Data'!$E$116)</f>
        <v>Yes</v>
      </c>
      <c r="D74" s="1018"/>
      <c r="E74" s="16" t="str">
        <f>$E$72</f>
        <v>COMPLIANT</v>
      </c>
      <c r="F74" s="224"/>
      <c r="G74" s="709"/>
      <c r="H74" s="709"/>
      <c r="I74" s="709"/>
      <c r="J74" s="709"/>
      <c r="K74" s="709"/>
    </row>
    <row r="75" spans="1:11" x14ac:dyDescent="0.25">
      <c r="A75" s="692"/>
      <c r="B75" s="692"/>
      <c r="C75" s="1016"/>
      <c r="D75" s="692"/>
      <c r="E75" s="119"/>
      <c r="F75" s="51"/>
      <c r="G75" s="709"/>
      <c r="H75" s="709"/>
      <c r="I75" s="709"/>
      <c r="J75" s="709"/>
      <c r="K75" s="709"/>
    </row>
    <row r="76" spans="1:11" ht="15.75" thickBot="1" x14ac:dyDescent="0.3">
      <c r="A76" s="692"/>
      <c r="B76" s="692"/>
      <c r="C76" s="397"/>
      <c r="D76" s="692"/>
      <c r="E76" s="119"/>
      <c r="F76" s="51"/>
      <c r="G76" s="709"/>
      <c r="H76" s="709"/>
      <c r="I76" s="709"/>
      <c r="J76" s="709"/>
      <c r="K76" s="709"/>
    </row>
    <row r="77" spans="1:11" ht="15.75" thickBot="1" x14ac:dyDescent="0.3">
      <c r="A77" s="860" t="s">
        <v>287</v>
      </c>
      <c r="B77" s="19" t="s">
        <v>229</v>
      </c>
      <c r="C77" s="398" t="s">
        <v>232</v>
      </c>
      <c r="D77" s="19" t="s">
        <v>342</v>
      </c>
      <c r="E77" s="19" t="s">
        <v>231</v>
      </c>
      <c r="F77" s="195" t="s">
        <v>344</v>
      </c>
      <c r="G77" s="709"/>
      <c r="H77" s="709"/>
      <c r="I77" s="709"/>
      <c r="J77" s="709"/>
      <c r="K77" s="709"/>
    </row>
    <row r="78" spans="1:11" x14ac:dyDescent="0.25">
      <c r="A78" s="1446" t="s">
        <v>1550</v>
      </c>
      <c r="B78" s="1448" t="s">
        <v>1834</v>
      </c>
      <c r="C78" s="399" t="s">
        <v>1835</v>
      </c>
      <c r="D78" s="1423" t="s">
        <v>1553</v>
      </c>
      <c r="E78" s="97"/>
      <c r="F78" s="276" t="s">
        <v>1554</v>
      </c>
      <c r="G78" s="709"/>
      <c r="H78" s="709"/>
      <c r="I78" s="709"/>
      <c r="J78" s="709"/>
      <c r="K78" s="709"/>
    </row>
    <row r="79" spans="1:11" ht="27.75" thickBot="1" x14ac:dyDescent="0.3">
      <c r="A79" s="1447"/>
      <c r="B79" s="1449"/>
      <c r="C79" s="399" t="s">
        <v>1836</v>
      </c>
      <c r="D79" s="1423" t="s">
        <v>1837</v>
      </c>
      <c r="E79" s="35"/>
      <c r="F79" s="199" t="s">
        <v>1838</v>
      </c>
      <c r="G79" s="709"/>
      <c r="H79" s="709"/>
      <c r="I79" s="709"/>
      <c r="J79" s="709"/>
      <c r="K79" s="709"/>
    </row>
    <row r="80" spans="1:11" ht="15.75" thickBot="1" x14ac:dyDescent="0.3">
      <c r="A80" s="1006" t="s">
        <v>1555</v>
      </c>
      <c r="B80" s="180" t="s">
        <v>229</v>
      </c>
      <c r="C80" s="386"/>
      <c r="D80" s="3"/>
      <c r="E80" s="3"/>
      <c r="F80" s="200"/>
      <c r="G80" s="709"/>
      <c r="H80" s="709"/>
      <c r="I80" s="709"/>
      <c r="J80" s="709"/>
      <c r="K80" s="709"/>
    </row>
    <row r="81" spans="1:11" x14ac:dyDescent="0.25">
      <c r="A81" s="98"/>
      <c r="B81" s="126"/>
      <c r="C81" s="400"/>
      <c r="D81" s="100"/>
      <c r="E81" s="100"/>
      <c r="F81" s="201"/>
      <c r="G81" s="709"/>
      <c r="H81" s="709"/>
      <c r="I81" s="709"/>
      <c r="J81" s="709"/>
      <c r="K81" s="709"/>
    </row>
    <row r="82" spans="1:11" ht="15.75" thickBot="1" x14ac:dyDescent="0.3">
      <c r="A82" s="840"/>
      <c r="B82" s="260" t="s">
        <v>1839</v>
      </c>
      <c r="C82" s="177">
        <f>'Conversion factors'!B48</f>
        <v>3.9866000000000001</v>
      </c>
      <c r="D82" s="39" t="s">
        <v>1840</v>
      </c>
      <c r="E82" s="681"/>
      <c r="F82" s="686" t="s">
        <v>1841</v>
      </c>
      <c r="G82" s="709"/>
      <c r="H82" s="709"/>
      <c r="I82" s="709"/>
      <c r="J82" s="709"/>
      <c r="K82" s="709"/>
    </row>
    <row r="83" spans="1:11" ht="15.75" thickBot="1" x14ac:dyDescent="0.3">
      <c r="A83" s="840"/>
      <c r="B83" s="680" t="s">
        <v>1842</v>
      </c>
      <c r="C83" s="395">
        <f>IFERROR('Input Data'!#REF!,0)</f>
        <v>0</v>
      </c>
      <c r="D83" s="682" t="s">
        <v>667</v>
      </c>
      <c r="E83" s="111"/>
      <c r="F83" s="235" t="s">
        <v>1843</v>
      </c>
      <c r="G83" s="709"/>
      <c r="H83" s="709"/>
      <c r="I83" s="709"/>
      <c r="J83" s="709"/>
      <c r="K83" s="709"/>
    </row>
    <row r="84" spans="1:11" ht="15.75" thickBot="1" x14ac:dyDescent="0.3">
      <c r="A84" s="840"/>
      <c r="B84" s="260" t="s">
        <v>1844</v>
      </c>
      <c r="C84" s="401">
        <f>'Conversion factors'!B49</f>
        <v>6.2047857142857099</v>
      </c>
      <c r="D84" s="39" t="s">
        <v>1840</v>
      </c>
      <c r="E84" s="28"/>
      <c r="F84" s="686" t="s">
        <v>1841</v>
      </c>
      <c r="G84" s="709"/>
      <c r="H84" s="709"/>
      <c r="I84" s="709"/>
      <c r="J84" s="709"/>
      <c r="K84" s="709"/>
    </row>
    <row r="85" spans="1:11" ht="15.75" thickBot="1" x14ac:dyDescent="0.3">
      <c r="A85" s="840"/>
      <c r="B85" s="186" t="s">
        <v>1845</v>
      </c>
      <c r="C85" s="402">
        <f>(C82*C83)+(C84*C83)</f>
        <v>0</v>
      </c>
      <c r="D85" s="39" t="s">
        <v>1846</v>
      </c>
      <c r="E85" s="681"/>
      <c r="F85" s="202"/>
      <c r="G85" s="709"/>
      <c r="H85" s="709"/>
      <c r="I85" s="709"/>
      <c r="J85" s="709"/>
      <c r="K85" s="709"/>
    </row>
    <row r="86" spans="1:11" x14ac:dyDescent="0.25">
      <c r="A86" s="681"/>
      <c r="B86" s="68"/>
      <c r="C86" s="339"/>
      <c r="D86" s="57"/>
      <c r="E86" s="681"/>
      <c r="F86" s="202"/>
      <c r="G86" s="709"/>
      <c r="H86" s="709"/>
      <c r="I86" s="709"/>
      <c r="J86" s="709"/>
      <c r="K86" s="709"/>
    </row>
    <row r="87" spans="1:11" ht="15.75" thickBot="1" x14ac:dyDescent="0.3">
      <c r="A87" s="840"/>
      <c r="B87" s="260" t="s">
        <v>1847</v>
      </c>
      <c r="C87" s="403">
        <f>'Conversion factors'!B50</f>
        <v>0.71379999999999999</v>
      </c>
      <c r="D87" s="39" t="s">
        <v>1848</v>
      </c>
      <c r="E87" s="681"/>
      <c r="F87" s="686" t="s">
        <v>1841</v>
      </c>
      <c r="G87" s="709"/>
      <c r="H87" s="709"/>
      <c r="I87" s="709"/>
      <c r="J87" s="709"/>
      <c r="K87" s="709"/>
    </row>
    <row r="88" spans="1:11" ht="15.75" thickBot="1" x14ac:dyDescent="0.3">
      <c r="A88" s="840"/>
      <c r="B88" s="680" t="s">
        <v>1849</v>
      </c>
      <c r="C88" s="395">
        <f>IFERROR('Input Data'!#REF!,0)</f>
        <v>0</v>
      </c>
      <c r="D88" s="682" t="s">
        <v>667</v>
      </c>
      <c r="E88" s="111"/>
      <c r="F88" s="202" t="s">
        <v>1850</v>
      </c>
      <c r="G88" s="709"/>
      <c r="H88" s="709"/>
      <c r="I88" s="709"/>
      <c r="J88" s="709"/>
      <c r="K88" s="709"/>
    </row>
    <row r="89" spans="1:11" ht="16.5" thickBot="1" x14ac:dyDescent="0.35">
      <c r="A89" s="840"/>
      <c r="B89" s="186" t="s">
        <v>1851</v>
      </c>
      <c r="C89" s="404">
        <f>C87*C88</f>
        <v>0</v>
      </c>
      <c r="D89" s="178" t="s">
        <v>1846</v>
      </c>
      <c r="E89" s="681"/>
      <c r="F89" s="202" t="s">
        <v>1852</v>
      </c>
      <c r="G89" s="709"/>
      <c r="H89" s="709"/>
      <c r="I89" s="709"/>
      <c r="J89" s="709"/>
      <c r="K89" s="709"/>
    </row>
    <row r="90" spans="1:11" x14ac:dyDescent="0.25">
      <c r="A90" s="681"/>
      <c r="B90" s="680"/>
      <c r="C90" s="339"/>
      <c r="D90" s="310"/>
      <c r="E90" s="681"/>
      <c r="F90" s="202"/>
      <c r="G90" s="709"/>
      <c r="H90" s="709"/>
      <c r="I90" s="709"/>
      <c r="J90" s="709"/>
      <c r="K90" s="709"/>
    </row>
    <row r="91" spans="1:11" ht="15.75" thickBot="1" x14ac:dyDescent="0.3">
      <c r="A91" s="840"/>
      <c r="B91" s="260" t="s">
        <v>1853</v>
      </c>
      <c r="C91" s="405">
        <f>'Conversion factors'!B51</f>
        <v>1.6128</v>
      </c>
      <c r="D91" s="39" t="s">
        <v>1848</v>
      </c>
      <c r="E91" s="681"/>
      <c r="F91" s="686" t="s">
        <v>1841</v>
      </c>
      <c r="G91" s="709"/>
      <c r="H91" s="709"/>
      <c r="I91" s="709"/>
      <c r="J91" s="709"/>
      <c r="K91" s="709"/>
    </row>
    <row r="92" spans="1:11" ht="15.75" thickBot="1" x14ac:dyDescent="0.3">
      <c r="A92" s="840"/>
      <c r="B92" s="680" t="s">
        <v>1854</v>
      </c>
      <c r="C92" s="395">
        <f>IFERROR('Input Data'!E119,0)</f>
        <v>0</v>
      </c>
      <c r="D92" s="682" t="s">
        <v>667</v>
      </c>
      <c r="E92" s="111"/>
      <c r="F92" s="202" t="s">
        <v>1850</v>
      </c>
      <c r="G92" s="709"/>
      <c r="H92" s="709"/>
      <c r="I92" s="709"/>
      <c r="J92" s="709"/>
      <c r="K92" s="709"/>
    </row>
    <row r="93" spans="1:11" ht="15.75" thickBot="1" x14ac:dyDescent="0.3">
      <c r="A93" s="840"/>
      <c r="B93" s="186" t="s">
        <v>1855</v>
      </c>
      <c r="C93" s="402">
        <f>C92*C91</f>
        <v>0</v>
      </c>
      <c r="D93" s="39" t="s">
        <v>1846</v>
      </c>
      <c r="E93" s="681"/>
      <c r="F93" s="202" t="s">
        <v>1856</v>
      </c>
      <c r="G93" s="709"/>
      <c r="H93" s="709"/>
      <c r="I93" s="709"/>
      <c r="J93" s="709"/>
      <c r="K93" s="709"/>
    </row>
    <row r="94" spans="1:11" x14ac:dyDescent="0.25">
      <c r="A94" s="681"/>
      <c r="B94" s="68"/>
      <c r="C94" s="339"/>
      <c r="D94" s="57"/>
      <c r="E94" s="681"/>
      <c r="F94" s="202"/>
      <c r="G94" s="709"/>
      <c r="H94" s="709"/>
      <c r="I94" s="709"/>
      <c r="J94" s="709"/>
      <c r="K94" s="709"/>
    </row>
    <row r="95" spans="1:11" x14ac:dyDescent="0.25">
      <c r="A95" s="840"/>
      <c r="B95" s="260" t="s">
        <v>1857</v>
      </c>
      <c r="C95" s="406">
        <f>'Conversion factors'!B52</f>
        <v>6.5373053E-2</v>
      </c>
      <c r="D95" s="39" t="s">
        <v>1848</v>
      </c>
      <c r="E95" s="681"/>
      <c r="F95" s="686" t="s">
        <v>1841</v>
      </c>
      <c r="G95" s="709"/>
      <c r="H95" s="709"/>
      <c r="I95" s="709"/>
      <c r="J95" s="709"/>
      <c r="K95" s="709"/>
    </row>
    <row r="96" spans="1:11" ht="41.25" thickBot="1" x14ac:dyDescent="0.3">
      <c r="A96" s="840"/>
      <c r="B96" s="260" t="s">
        <v>1858</v>
      </c>
      <c r="C96" s="407">
        <f>'Conversion factors'!B53</f>
        <v>0.44366666666666699</v>
      </c>
      <c r="D96" s="39" t="s">
        <v>1848</v>
      </c>
      <c r="E96" s="681"/>
      <c r="F96" s="686" t="s">
        <v>1859</v>
      </c>
      <c r="G96" s="709"/>
      <c r="H96" s="709"/>
      <c r="I96" s="709"/>
      <c r="J96" s="709"/>
      <c r="K96" s="709"/>
    </row>
    <row r="97" spans="1:11" ht="15.75" thickBot="1" x14ac:dyDescent="0.3">
      <c r="A97" s="840"/>
      <c r="B97" s="680" t="s">
        <v>1860</v>
      </c>
      <c r="C97" s="395">
        <f>IFERROR('Input Data'!E121,0)</f>
        <v>0</v>
      </c>
      <c r="D97" s="682" t="s">
        <v>667</v>
      </c>
      <c r="E97" s="111"/>
      <c r="F97" s="202" t="s">
        <v>1850</v>
      </c>
      <c r="G97" s="709"/>
      <c r="H97" s="709"/>
      <c r="I97" s="709"/>
      <c r="J97" s="709"/>
      <c r="K97" s="709"/>
    </row>
    <row r="98" spans="1:11" ht="15.75" thickBot="1" x14ac:dyDescent="0.3">
      <c r="A98" s="840"/>
      <c r="B98" s="186" t="s">
        <v>1861</v>
      </c>
      <c r="C98" s="402">
        <f>($C$97*C96)+($C$97*C95)</f>
        <v>0</v>
      </c>
      <c r="D98" s="39" t="s">
        <v>1846</v>
      </c>
      <c r="E98" s="681"/>
      <c r="F98" s="202"/>
      <c r="G98" s="709"/>
      <c r="H98" s="709"/>
      <c r="I98" s="709"/>
      <c r="J98" s="709"/>
      <c r="K98" s="709"/>
    </row>
    <row r="99" spans="1:11" x14ac:dyDescent="0.25">
      <c r="A99" s="681"/>
      <c r="B99" s="68"/>
      <c r="C99" s="339"/>
      <c r="D99" s="57"/>
      <c r="E99" s="681"/>
      <c r="F99" s="202"/>
      <c r="G99" s="709"/>
      <c r="H99" s="709"/>
      <c r="I99" s="709"/>
      <c r="J99" s="709"/>
      <c r="K99" s="709"/>
    </row>
    <row r="100" spans="1:11" ht="15.75" thickBot="1" x14ac:dyDescent="0.3">
      <c r="A100" s="840"/>
      <c r="B100" s="260" t="s">
        <v>1862</v>
      </c>
      <c r="C100" s="405">
        <f>'Conversion factors'!B54</f>
        <v>25.0444</v>
      </c>
      <c r="D100" s="39" t="s">
        <v>1848</v>
      </c>
      <c r="E100" s="681"/>
      <c r="F100" s="686" t="s">
        <v>1841</v>
      </c>
      <c r="G100" s="709"/>
      <c r="H100" s="709"/>
      <c r="I100" s="709"/>
      <c r="J100" s="709"/>
      <c r="K100" s="709"/>
    </row>
    <row r="101" spans="1:11" ht="15.75" thickBot="1" x14ac:dyDescent="0.3">
      <c r="A101" s="840"/>
      <c r="B101" s="680" t="s">
        <v>1495</v>
      </c>
      <c r="C101" s="395">
        <f>'Input Data'!E89*'Input Data'!E90</f>
        <v>0</v>
      </c>
      <c r="D101" s="682" t="s">
        <v>667</v>
      </c>
      <c r="E101" s="111"/>
      <c r="F101" s="202" t="s">
        <v>1850</v>
      </c>
      <c r="G101" s="709"/>
      <c r="H101" s="709"/>
      <c r="I101" s="709"/>
      <c r="J101" s="709"/>
      <c r="K101" s="709"/>
    </row>
    <row r="102" spans="1:11" s="692" customFormat="1" ht="15.75" thickBot="1" x14ac:dyDescent="0.3">
      <c r="A102" s="840"/>
      <c r="B102" s="186" t="s">
        <v>1863</v>
      </c>
      <c r="C102" s="402">
        <f>C101*C100</f>
        <v>0</v>
      </c>
      <c r="D102" s="39" t="s">
        <v>1846</v>
      </c>
      <c r="E102" s="681"/>
      <c r="F102" s="202"/>
      <c r="G102" s="709"/>
      <c r="H102" s="709"/>
      <c r="I102" s="709"/>
      <c r="J102" s="709"/>
      <c r="K102" s="709"/>
    </row>
    <row r="103" spans="1:11" s="692" customFormat="1" x14ac:dyDescent="0.25">
      <c r="A103" s="681"/>
      <c r="B103" s="68"/>
      <c r="C103" s="339"/>
      <c r="D103" s="57"/>
      <c r="E103" s="681"/>
      <c r="F103" s="202"/>
      <c r="G103" s="709"/>
      <c r="H103" s="709"/>
      <c r="I103" s="709"/>
      <c r="J103" s="709"/>
      <c r="K103" s="709"/>
    </row>
    <row r="104" spans="1:11" ht="15.75" thickBot="1" x14ac:dyDescent="0.3">
      <c r="A104" s="840"/>
      <c r="B104" s="260" t="s">
        <v>1864</v>
      </c>
      <c r="C104" s="405">
        <f>'Conversion factors'!B55</f>
        <v>29.0869</v>
      </c>
      <c r="D104" s="39" t="s">
        <v>1848</v>
      </c>
      <c r="E104" s="681"/>
      <c r="F104" s="686" t="s">
        <v>1841</v>
      </c>
      <c r="G104" s="709"/>
      <c r="H104" s="709"/>
      <c r="I104" s="709"/>
      <c r="J104" s="709"/>
      <c r="K104" s="709"/>
    </row>
    <row r="105" spans="1:11" ht="15.75" thickBot="1" x14ac:dyDescent="0.3">
      <c r="A105" s="840"/>
      <c r="B105" s="680" t="s">
        <v>591</v>
      </c>
      <c r="C105" s="395">
        <f>'Input Data'!E91*'Input Data'!E92</f>
        <v>0</v>
      </c>
      <c r="D105" s="682" t="s">
        <v>667</v>
      </c>
      <c r="E105" s="111"/>
      <c r="F105" s="202" t="s">
        <v>1850</v>
      </c>
      <c r="G105" s="709"/>
      <c r="H105" s="709"/>
      <c r="I105" s="709"/>
      <c r="J105" s="709"/>
      <c r="K105" s="709"/>
    </row>
    <row r="106" spans="1:11" ht="15.75" thickBot="1" x14ac:dyDescent="0.3">
      <c r="A106" s="840"/>
      <c r="B106" s="186" t="s">
        <v>1865</v>
      </c>
      <c r="C106" s="402">
        <f>C105*C104</f>
        <v>0</v>
      </c>
      <c r="D106" s="39" t="s">
        <v>1846</v>
      </c>
      <c r="E106" s="681"/>
      <c r="F106" s="202"/>
      <c r="G106" s="709"/>
      <c r="H106" s="709"/>
      <c r="I106" s="709"/>
      <c r="J106" s="709"/>
      <c r="K106" s="709"/>
    </row>
    <row r="107" spans="1:11" x14ac:dyDescent="0.25">
      <c r="A107" s="681"/>
      <c r="B107" s="681"/>
      <c r="C107" s="402"/>
      <c r="D107" s="39"/>
      <c r="E107" s="681"/>
      <c r="F107" s="202"/>
      <c r="G107" s="709"/>
      <c r="H107" s="709"/>
      <c r="I107" s="709"/>
      <c r="J107" s="709"/>
      <c r="K107" s="709"/>
    </row>
    <row r="108" spans="1:11" ht="15.75" thickBot="1" x14ac:dyDescent="0.3">
      <c r="A108" s="840"/>
      <c r="B108" s="260" t="s">
        <v>1866</v>
      </c>
      <c r="C108" s="405">
        <f>'Conversion factors'!B56</f>
        <v>10</v>
      </c>
      <c r="D108" s="39" t="s">
        <v>1848</v>
      </c>
      <c r="E108" s="681"/>
      <c r="F108" s="686" t="s">
        <v>1867</v>
      </c>
      <c r="G108" s="709"/>
      <c r="H108" s="709"/>
      <c r="I108" s="709"/>
      <c r="J108" s="709"/>
      <c r="K108" s="709"/>
    </row>
    <row r="109" spans="1:11" ht="15.75" thickBot="1" x14ac:dyDescent="0.3">
      <c r="A109" s="840"/>
      <c r="B109" s="680" t="s">
        <v>1868</v>
      </c>
      <c r="C109" s="395">
        <f>'Input Data'!E93*'Input Data'!E94</f>
        <v>0</v>
      </c>
      <c r="D109" s="682" t="s">
        <v>667</v>
      </c>
      <c r="E109" s="111"/>
      <c r="F109" s="202" t="s">
        <v>1850</v>
      </c>
      <c r="G109" s="709"/>
      <c r="H109" s="709"/>
      <c r="I109" s="709"/>
      <c r="J109" s="709"/>
      <c r="K109" s="709"/>
    </row>
    <row r="110" spans="1:11" ht="15.75" thickBot="1" x14ac:dyDescent="0.3">
      <c r="A110" s="840"/>
      <c r="B110" s="186" t="s">
        <v>1869</v>
      </c>
      <c r="C110" s="402">
        <f>C109*C108</f>
        <v>0</v>
      </c>
      <c r="D110" s="39" t="s">
        <v>1846</v>
      </c>
      <c r="E110" s="681"/>
      <c r="F110" s="202"/>
      <c r="G110" s="709"/>
      <c r="H110" s="709"/>
      <c r="I110" s="709"/>
      <c r="J110" s="709"/>
      <c r="K110" s="709"/>
    </row>
    <row r="111" spans="1:11" x14ac:dyDescent="0.25">
      <c r="A111" s="681"/>
      <c r="B111" s="68"/>
      <c r="C111" s="339"/>
      <c r="D111" s="57"/>
      <c r="E111" s="681"/>
      <c r="F111" s="202"/>
      <c r="G111" s="709"/>
      <c r="H111" s="709"/>
      <c r="I111" s="709"/>
      <c r="J111" s="709"/>
      <c r="K111" s="709"/>
    </row>
    <row r="112" spans="1:11" ht="15.75" thickBot="1" x14ac:dyDescent="0.3">
      <c r="A112" s="840"/>
      <c r="B112" s="260" t="s">
        <v>1870</v>
      </c>
      <c r="C112" s="405">
        <f>'Conversion factors'!B57</f>
        <v>20</v>
      </c>
      <c r="D112" s="39" t="s">
        <v>1848</v>
      </c>
      <c r="E112" s="681"/>
      <c r="F112" s="686" t="s">
        <v>1871</v>
      </c>
      <c r="G112" s="709"/>
      <c r="H112" s="709"/>
      <c r="I112" s="709"/>
      <c r="J112" s="709"/>
      <c r="K112" s="709"/>
    </row>
    <row r="113" spans="1:11" ht="15.75" thickBot="1" x14ac:dyDescent="0.3">
      <c r="A113" s="840"/>
      <c r="B113" s="680" t="s">
        <v>1872</v>
      </c>
      <c r="C113" s="395">
        <f>'Input Data'!E95*'Input Data'!E96</f>
        <v>0</v>
      </c>
      <c r="D113" s="682" t="s">
        <v>667</v>
      </c>
      <c r="E113" s="111"/>
      <c r="F113" s="202" t="s">
        <v>1850</v>
      </c>
      <c r="G113" s="709"/>
      <c r="H113" s="709"/>
      <c r="I113" s="709"/>
      <c r="J113" s="709"/>
      <c r="K113" s="709"/>
    </row>
    <row r="114" spans="1:11" ht="15.75" thickBot="1" x14ac:dyDescent="0.3">
      <c r="A114" s="840"/>
      <c r="B114" s="186" t="s">
        <v>1497</v>
      </c>
      <c r="C114" s="402">
        <f>C113*C112</f>
        <v>0</v>
      </c>
      <c r="D114" s="39" t="s">
        <v>1846</v>
      </c>
      <c r="E114" s="681"/>
      <c r="F114" s="202"/>
      <c r="G114" s="709"/>
      <c r="H114" s="709"/>
      <c r="I114" s="709"/>
      <c r="J114" s="709"/>
      <c r="K114" s="709"/>
    </row>
    <row r="115" spans="1:11" x14ac:dyDescent="0.25">
      <c r="A115" s="681"/>
      <c r="B115" s="681"/>
      <c r="C115" s="402"/>
      <c r="D115" s="39"/>
      <c r="E115" s="681"/>
      <c r="F115" s="202"/>
      <c r="G115" s="709"/>
      <c r="H115" s="709"/>
      <c r="I115" s="709"/>
      <c r="J115" s="709"/>
      <c r="K115" s="709"/>
    </row>
    <row r="116" spans="1:11" x14ac:dyDescent="0.25">
      <c r="A116" s="681"/>
      <c r="B116" s="680" t="s">
        <v>1873</v>
      </c>
      <c r="C116" s="339">
        <f>C83</f>
        <v>0</v>
      </c>
      <c r="D116" s="682" t="s">
        <v>667</v>
      </c>
      <c r="E116" s="681"/>
      <c r="F116" s="202"/>
      <c r="G116" s="709"/>
      <c r="H116" s="709"/>
      <c r="I116" s="709"/>
      <c r="J116" s="709"/>
      <c r="K116" s="709"/>
    </row>
    <row r="117" spans="1:11" x14ac:dyDescent="0.25">
      <c r="A117" s="681"/>
      <c r="B117" s="680" t="s">
        <v>1849</v>
      </c>
      <c r="C117" s="339">
        <f>C88</f>
        <v>0</v>
      </c>
      <c r="D117" s="682" t="s">
        <v>667</v>
      </c>
      <c r="E117" s="681"/>
      <c r="F117" s="202"/>
      <c r="G117" s="709"/>
      <c r="H117" s="709"/>
      <c r="I117" s="709"/>
      <c r="J117" s="709"/>
      <c r="K117" s="709"/>
    </row>
    <row r="118" spans="1:11" s="692" customFormat="1" x14ac:dyDescent="0.25">
      <c r="A118" s="681"/>
      <c r="B118" s="680" t="s">
        <v>1854</v>
      </c>
      <c r="C118" s="402">
        <f>C92</f>
        <v>0</v>
      </c>
      <c r="D118" s="682" t="s">
        <v>667</v>
      </c>
      <c r="E118" s="681"/>
      <c r="F118" s="202"/>
      <c r="G118" s="709"/>
      <c r="H118" s="709"/>
      <c r="I118" s="709"/>
      <c r="J118" s="709"/>
      <c r="K118" s="709"/>
    </row>
    <row r="119" spans="1:11" s="692" customFormat="1" x14ac:dyDescent="0.25">
      <c r="A119" s="681"/>
      <c r="B119" s="680" t="s">
        <v>1860</v>
      </c>
      <c r="C119" s="402">
        <f>C97</f>
        <v>0</v>
      </c>
      <c r="D119" s="682" t="s">
        <v>667</v>
      </c>
      <c r="E119" s="681"/>
      <c r="F119" s="202"/>
      <c r="G119" s="709"/>
      <c r="H119" s="709"/>
      <c r="I119" s="709"/>
      <c r="J119" s="709"/>
      <c r="K119" s="709"/>
    </row>
    <row r="120" spans="1:11" s="692" customFormat="1" x14ac:dyDescent="0.25">
      <c r="A120" s="681"/>
      <c r="B120" s="680" t="s">
        <v>1495</v>
      </c>
      <c r="C120" s="402">
        <f>C101</f>
        <v>0</v>
      </c>
      <c r="D120" s="682" t="s">
        <v>667</v>
      </c>
      <c r="E120" s="681"/>
      <c r="F120" s="202"/>
      <c r="G120" s="709"/>
      <c r="H120" s="709"/>
      <c r="I120" s="709"/>
      <c r="J120" s="709"/>
      <c r="K120" s="709"/>
    </row>
    <row r="121" spans="1:11" s="692" customFormat="1" x14ac:dyDescent="0.25">
      <c r="A121" s="681"/>
      <c r="B121" s="680" t="s">
        <v>1874</v>
      </c>
      <c r="C121" s="339">
        <f>C105</f>
        <v>0</v>
      </c>
      <c r="D121" s="682" t="s">
        <v>667</v>
      </c>
      <c r="E121" s="681"/>
      <c r="F121" s="202"/>
      <c r="G121" s="709"/>
      <c r="H121" s="709"/>
      <c r="I121" s="709"/>
      <c r="J121" s="709"/>
      <c r="K121" s="709"/>
    </row>
    <row r="122" spans="1:11" s="692" customFormat="1" x14ac:dyDescent="0.25">
      <c r="A122" s="681"/>
      <c r="B122" s="680" t="s">
        <v>1868</v>
      </c>
      <c r="C122" s="339">
        <f>C109</f>
        <v>0</v>
      </c>
      <c r="D122" s="682" t="s">
        <v>667</v>
      </c>
      <c r="E122" s="681"/>
      <c r="F122" s="202"/>
      <c r="G122" s="709"/>
      <c r="H122" s="709"/>
      <c r="I122" s="709"/>
      <c r="J122" s="709"/>
      <c r="K122" s="709"/>
    </row>
    <row r="123" spans="1:11" s="692" customFormat="1" x14ac:dyDescent="0.25">
      <c r="A123" s="681"/>
      <c r="B123" s="680" t="s">
        <v>1870</v>
      </c>
      <c r="C123" s="339">
        <f>C113</f>
        <v>0</v>
      </c>
      <c r="D123" s="682" t="s">
        <v>667</v>
      </c>
      <c r="E123" s="681"/>
      <c r="F123" s="202"/>
      <c r="G123" s="709"/>
      <c r="H123" s="709"/>
      <c r="I123" s="709"/>
      <c r="J123" s="709"/>
      <c r="K123" s="709"/>
    </row>
    <row r="124" spans="1:11" s="692" customFormat="1" ht="27.75" thickBot="1" x14ac:dyDescent="0.3">
      <c r="A124" s="681"/>
      <c r="B124" s="260" t="s">
        <v>1875</v>
      </c>
      <c r="C124" s="406">
        <f>'Conversion factors'!B58</f>
        <v>5.0029999999999998E-2</v>
      </c>
      <c r="D124" s="39" t="s">
        <v>1876</v>
      </c>
      <c r="E124" s="169"/>
      <c r="F124" s="686" t="s">
        <v>1877</v>
      </c>
      <c r="G124" s="709"/>
      <c r="H124" s="709"/>
      <c r="I124" s="709"/>
      <c r="J124" s="709"/>
      <c r="K124" s="709"/>
    </row>
    <row r="125" spans="1:11" s="692" customFormat="1" ht="15.75" thickBot="1" x14ac:dyDescent="0.3">
      <c r="A125" s="840"/>
      <c r="B125" s="186" t="s">
        <v>1878</v>
      </c>
      <c r="C125" s="402">
        <f>SUM(C116:C123)*C124</f>
        <v>0</v>
      </c>
      <c r="D125" s="39" t="s">
        <v>1846</v>
      </c>
      <c r="E125" s="681"/>
      <c r="F125" s="202"/>
      <c r="G125" s="709"/>
      <c r="H125" s="709"/>
      <c r="I125" s="709"/>
      <c r="J125" s="709"/>
      <c r="K125" s="709"/>
    </row>
    <row r="126" spans="1:11" s="692" customFormat="1" ht="15.75" thickBot="1" x14ac:dyDescent="0.3">
      <c r="A126" s="681"/>
      <c r="B126" s="68"/>
      <c r="C126" s="339"/>
      <c r="D126" s="57"/>
      <c r="E126" s="681"/>
      <c r="F126" s="202"/>
      <c r="G126" s="709"/>
      <c r="H126" s="709"/>
      <c r="I126" s="709"/>
      <c r="J126" s="709"/>
      <c r="K126" s="709"/>
    </row>
    <row r="127" spans="1:11" s="692" customFormat="1" ht="15.75" thickBot="1" x14ac:dyDescent="0.3">
      <c r="A127" s="681"/>
      <c r="B127" s="680" t="s">
        <v>603</v>
      </c>
      <c r="C127" s="395">
        <f>'Input Data'!E97</f>
        <v>0</v>
      </c>
      <c r="D127" s="680" t="s">
        <v>604</v>
      </c>
      <c r="E127" s="111"/>
      <c r="F127" s="202" t="s">
        <v>1879</v>
      </c>
      <c r="G127" s="709"/>
      <c r="H127" s="709"/>
      <c r="I127" s="709"/>
      <c r="J127" s="709"/>
      <c r="K127" s="709"/>
    </row>
    <row r="128" spans="1:11" s="692" customFormat="1" x14ac:dyDescent="0.25">
      <c r="A128" s="681"/>
      <c r="B128" s="680" t="s">
        <v>603</v>
      </c>
      <c r="C128" s="408" t="e">
        <f>C127/'Input Data'!E13</f>
        <v>#DIV/0!</v>
      </c>
      <c r="D128" s="682" t="s">
        <v>1880</v>
      </c>
      <c r="E128" s="111"/>
      <c r="F128" s="202"/>
      <c r="G128" s="709"/>
      <c r="H128" s="709"/>
      <c r="I128" s="709"/>
      <c r="J128" s="709"/>
      <c r="K128" s="709"/>
    </row>
    <row r="129" spans="1:13" s="692" customFormat="1" ht="27" x14ac:dyDescent="0.25">
      <c r="A129" s="681"/>
      <c r="B129" s="680" t="s">
        <v>1881</v>
      </c>
      <c r="C129" s="408">
        <f>'Conversion factors'!B7</f>
        <v>31.45</v>
      </c>
      <c r="D129" s="88" t="s">
        <v>611</v>
      </c>
      <c r="E129" s="25"/>
      <c r="F129" s="218" t="s">
        <v>1882</v>
      </c>
      <c r="G129" s="709"/>
      <c r="H129" s="709"/>
      <c r="I129" s="709"/>
      <c r="J129" s="709"/>
      <c r="K129" s="709"/>
    </row>
    <row r="130" spans="1:13" s="692" customFormat="1" ht="15.75" thickBot="1" x14ac:dyDescent="0.3">
      <c r="A130" s="681"/>
      <c r="B130" s="260" t="s">
        <v>1883</v>
      </c>
      <c r="C130" s="407">
        <f>'Conversion factors'!B40</f>
        <v>8.9389999999999997E-2</v>
      </c>
      <c r="D130" s="682" t="s">
        <v>1884</v>
      </c>
      <c r="E130" s="25"/>
      <c r="F130" s="686" t="s">
        <v>1841</v>
      </c>
      <c r="G130" s="709"/>
      <c r="H130" s="709"/>
      <c r="I130" s="709"/>
      <c r="J130" s="709"/>
      <c r="K130" s="709"/>
    </row>
    <row r="131" spans="1:13" ht="15.75" thickBot="1" x14ac:dyDescent="0.3">
      <c r="A131" s="840"/>
      <c r="B131" s="186" t="s">
        <v>1885</v>
      </c>
      <c r="C131" s="402">
        <f>C127*C129*C130</f>
        <v>0</v>
      </c>
      <c r="D131" s="39" t="s">
        <v>1846</v>
      </c>
      <c r="E131" s="681"/>
      <c r="F131" s="202"/>
      <c r="G131" s="709"/>
      <c r="H131" s="709"/>
      <c r="I131" s="709"/>
      <c r="J131" s="709"/>
      <c r="K131" s="709"/>
      <c r="L131" s="692"/>
      <c r="M131" s="692"/>
    </row>
    <row r="132" spans="1:13" ht="15.75" thickBot="1" x14ac:dyDescent="0.3">
      <c r="A132" s="681"/>
      <c r="B132" s="68"/>
      <c r="C132" s="339"/>
      <c r="D132" s="57"/>
      <c r="E132" s="681"/>
      <c r="F132" s="202"/>
      <c r="G132" s="709"/>
      <c r="H132" s="709"/>
      <c r="I132" s="709"/>
      <c r="J132" s="709"/>
      <c r="K132" s="709"/>
      <c r="L132" s="692"/>
      <c r="M132" s="692"/>
    </row>
    <row r="133" spans="1:13" ht="27.75" thickBot="1" x14ac:dyDescent="0.3">
      <c r="A133" s="681"/>
      <c r="B133" s="680" t="s">
        <v>607</v>
      </c>
      <c r="C133" s="395">
        <f>'Input Data'!E98</f>
        <v>0</v>
      </c>
      <c r="D133" s="57" t="s">
        <v>604</v>
      </c>
      <c r="E133" s="111"/>
      <c r="F133" s="289" t="s">
        <v>1886</v>
      </c>
      <c r="G133" s="709"/>
      <c r="H133" s="709"/>
      <c r="I133" s="709"/>
      <c r="J133" s="709"/>
      <c r="K133" s="709"/>
      <c r="L133" s="692"/>
      <c r="M133" s="692"/>
    </row>
    <row r="134" spans="1:13" ht="15.75" thickBot="1" x14ac:dyDescent="0.3">
      <c r="A134" s="681"/>
      <c r="B134" s="680" t="s">
        <v>607</v>
      </c>
      <c r="C134" s="282" t="e">
        <f>C133/'Input Data'!E13</f>
        <v>#DIV/0!</v>
      </c>
      <c r="D134" s="682" t="s">
        <v>1880</v>
      </c>
      <c r="E134" s="25"/>
      <c r="F134" s="235"/>
      <c r="G134" s="709"/>
      <c r="H134" s="709"/>
      <c r="I134" s="709"/>
      <c r="J134" s="709"/>
      <c r="K134" s="709"/>
      <c r="L134" s="692"/>
      <c r="M134" s="692"/>
    </row>
    <row r="135" spans="1:13" ht="27.75" thickBot="1" x14ac:dyDescent="0.3">
      <c r="A135" s="681"/>
      <c r="B135" s="680" t="s">
        <v>610</v>
      </c>
      <c r="C135" s="395">
        <f>'Input Data'!E99</f>
        <v>0</v>
      </c>
      <c r="D135" s="91" t="s">
        <v>611</v>
      </c>
      <c r="E135" s="47"/>
      <c r="F135" s="218" t="s">
        <v>612</v>
      </c>
      <c r="G135" s="709"/>
      <c r="H135" s="709"/>
      <c r="I135" s="709"/>
      <c r="J135" s="709"/>
      <c r="K135" s="709"/>
      <c r="L135" s="692"/>
      <c r="M135" s="692"/>
    </row>
    <row r="136" spans="1:13" ht="15.75" thickBot="1" x14ac:dyDescent="0.3">
      <c r="A136" s="681"/>
      <c r="B136" s="260" t="s">
        <v>1887</v>
      </c>
      <c r="C136" s="407">
        <f>'Conversion factors'!B42</f>
        <v>9.1427642908399998E-2</v>
      </c>
      <c r="D136" s="39" t="s">
        <v>1888</v>
      </c>
      <c r="E136" s="681"/>
      <c r="F136" s="686" t="s">
        <v>1841</v>
      </c>
      <c r="G136" s="709"/>
      <c r="H136" s="709"/>
      <c r="I136" s="709"/>
      <c r="J136" s="709"/>
      <c r="K136" s="709"/>
      <c r="L136" s="692"/>
      <c r="M136" s="692"/>
    </row>
    <row r="137" spans="1:13" ht="15.75" thickBot="1" x14ac:dyDescent="0.3">
      <c r="A137" s="840"/>
      <c r="B137" s="186" t="s">
        <v>1889</v>
      </c>
      <c r="C137" s="402">
        <f>C133*C135*C136</f>
        <v>0</v>
      </c>
      <c r="D137" s="39" t="s">
        <v>1846</v>
      </c>
      <c r="E137" s="25"/>
      <c r="F137" s="202"/>
      <c r="G137" s="709"/>
      <c r="H137" s="709"/>
      <c r="I137" s="709"/>
      <c r="J137" s="709"/>
      <c r="K137" s="709"/>
      <c r="L137" s="692"/>
      <c r="M137" s="692"/>
    </row>
    <row r="138" spans="1:13" x14ac:dyDescent="0.25">
      <c r="A138" s="681"/>
      <c r="B138" s="681"/>
      <c r="C138" s="402"/>
      <c r="D138" s="39"/>
      <c r="E138" s="25"/>
      <c r="F138" s="202"/>
      <c r="G138" s="709"/>
      <c r="H138" s="709"/>
      <c r="I138" s="709"/>
      <c r="J138" s="709"/>
      <c r="K138" s="709"/>
      <c r="L138" s="692"/>
      <c r="M138" s="692"/>
    </row>
    <row r="139" spans="1:13" x14ac:dyDescent="0.25">
      <c r="A139" s="681"/>
      <c r="B139" s="816" t="s">
        <v>629</v>
      </c>
      <c r="C139" s="802">
        <f>'Input Data'!E105</f>
        <v>0</v>
      </c>
      <c r="D139" s="792" t="s">
        <v>390</v>
      </c>
      <c r="E139" s="25"/>
      <c r="F139" s="202"/>
      <c r="G139" s="709"/>
      <c r="H139" s="709"/>
      <c r="I139" s="709"/>
      <c r="J139" s="709"/>
      <c r="K139" s="709"/>
      <c r="L139" s="692"/>
      <c r="M139" s="692"/>
    </row>
    <row r="140" spans="1:13" x14ac:dyDescent="0.25">
      <c r="A140" s="681"/>
      <c r="B140" s="816" t="s">
        <v>631</v>
      </c>
      <c r="C140" s="802">
        <f>'Input Data'!E106</f>
        <v>0</v>
      </c>
      <c r="D140" s="792" t="s">
        <v>1890</v>
      </c>
      <c r="E140" s="25"/>
      <c r="F140" s="202"/>
      <c r="G140" s="709"/>
      <c r="H140" s="709"/>
      <c r="I140" s="709"/>
      <c r="J140" s="709"/>
      <c r="K140" s="709"/>
      <c r="L140" s="692"/>
      <c r="M140" s="692"/>
    </row>
    <row r="141" spans="1:13" x14ac:dyDescent="0.25">
      <c r="A141" s="681"/>
      <c r="B141" s="816" t="s">
        <v>1891</v>
      </c>
      <c r="C141" s="802"/>
      <c r="D141" s="792" t="s">
        <v>1888</v>
      </c>
      <c r="E141" s="25"/>
      <c r="F141" s="202"/>
      <c r="G141" s="709"/>
      <c r="H141" s="709"/>
      <c r="I141" s="709"/>
      <c r="J141" s="709"/>
      <c r="K141" s="709"/>
      <c r="L141" s="692"/>
      <c r="M141" s="692"/>
    </row>
    <row r="142" spans="1:13" x14ac:dyDescent="0.25">
      <c r="A142" s="681"/>
      <c r="B142" s="816" t="s">
        <v>1892</v>
      </c>
      <c r="C142" s="802">
        <f>IFERROR(C139*C140*C141,"")</f>
        <v>0</v>
      </c>
      <c r="D142" s="792" t="s">
        <v>1846</v>
      </c>
      <c r="E142" s="25"/>
      <c r="F142" s="202"/>
      <c r="G142" s="709"/>
      <c r="H142" s="709"/>
      <c r="I142" s="709"/>
      <c r="J142" s="709"/>
      <c r="K142" s="709"/>
      <c r="L142" s="709"/>
      <c r="M142" s="692"/>
    </row>
    <row r="143" spans="1:13" x14ac:dyDescent="0.25">
      <c r="A143" s="681"/>
      <c r="B143" s="816"/>
      <c r="C143" s="802"/>
      <c r="D143" s="792"/>
      <c r="E143" s="25"/>
      <c r="F143" s="202"/>
      <c r="G143" s="709"/>
      <c r="H143" s="709"/>
      <c r="I143" s="709"/>
      <c r="J143" s="709"/>
      <c r="K143" s="709"/>
      <c r="L143" s="709"/>
      <c r="M143" s="692"/>
    </row>
    <row r="144" spans="1:13" x14ac:dyDescent="0.25">
      <c r="A144" s="681"/>
      <c r="B144" s="770" t="s">
        <v>1788</v>
      </c>
      <c r="C144" s="802"/>
      <c r="D144" s="792"/>
      <c r="E144" s="25"/>
      <c r="F144" s="202"/>
      <c r="G144" s="709"/>
      <c r="H144" s="709"/>
      <c r="I144" s="709"/>
      <c r="J144" s="709"/>
      <c r="K144" s="709"/>
      <c r="L144" s="709"/>
      <c r="M144" s="692"/>
    </row>
    <row r="145" spans="1:13" x14ac:dyDescent="0.25">
      <c r="A145" s="681"/>
      <c r="B145" s="770"/>
      <c r="C145" s="802"/>
      <c r="D145" s="792"/>
      <c r="E145" s="25"/>
      <c r="F145" s="202"/>
      <c r="G145" s="709"/>
      <c r="H145" s="709"/>
      <c r="I145" s="709"/>
      <c r="J145" s="709"/>
      <c r="K145" s="709"/>
      <c r="L145" s="709"/>
      <c r="M145" s="692"/>
    </row>
    <row r="146" spans="1:13" x14ac:dyDescent="0.25">
      <c r="A146" s="681"/>
      <c r="B146" s="771" t="s">
        <v>634</v>
      </c>
      <c r="C146" s="802">
        <f>'Input Data'!E108</f>
        <v>0</v>
      </c>
      <c r="D146" s="773" t="s">
        <v>371</v>
      </c>
      <c r="E146" s="25"/>
      <c r="F146" s="202"/>
      <c r="G146" s="709"/>
      <c r="H146" s="709"/>
      <c r="I146" s="709"/>
      <c r="J146" s="709"/>
      <c r="K146" s="709"/>
      <c r="L146" s="709"/>
      <c r="M146" s="692"/>
    </row>
    <row r="147" spans="1:13" ht="40.5" x14ac:dyDescent="0.25">
      <c r="A147" s="681"/>
      <c r="B147" s="771" t="s">
        <v>636</v>
      </c>
      <c r="C147" s="802">
        <f>'Input Data'!E109</f>
        <v>0</v>
      </c>
      <c r="D147" s="773" t="s">
        <v>637</v>
      </c>
      <c r="E147" s="25"/>
      <c r="F147" s="202"/>
      <c r="G147" s="709"/>
      <c r="H147" s="709"/>
      <c r="I147" s="709"/>
      <c r="J147" s="709"/>
      <c r="K147" s="709"/>
      <c r="L147" s="709"/>
      <c r="M147" s="692"/>
    </row>
    <row r="148" spans="1:13" x14ac:dyDescent="0.25">
      <c r="A148" s="681"/>
      <c r="B148" s="816" t="s">
        <v>1893</v>
      </c>
      <c r="C148" s="817">
        <v>3.5000000000000003E-2</v>
      </c>
      <c r="D148" s="792" t="s">
        <v>1894</v>
      </c>
      <c r="E148" s="25"/>
      <c r="F148" s="202"/>
      <c r="G148" s="709"/>
      <c r="H148" s="709"/>
      <c r="I148" s="709"/>
      <c r="J148" s="709"/>
      <c r="K148" s="709"/>
      <c r="L148" s="709"/>
      <c r="M148" s="692"/>
    </row>
    <row r="149" spans="1:13" ht="15.75" thickBot="1" x14ac:dyDescent="0.3">
      <c r="A149" s="681"/>
      <c r="B149" s="816" t="s">
        <v>1892</v>
      </c>
      <c r="C149" s="818">
        <f>IFERROR(C148*C147*C146*C140*C141,"")</f>
        <v>0</v>
      </c>
      <c r="D149" s="792" t="s">
        <v>1846</v>
      </c>
      <c r="E149" s="25"/>
      <c r="F149" s="202"/>
      <c r="G149" s="709"/>
      <c r="H149" s="709"/>
      <c r="I149" s="709"/>
      <c r="J149" s="709"/>
      <c r="K149" s="709"/>
      <c r="L149" s="709"/>
      <c r="M149" s="692"/>
    </row>
    <row r="150" spans="1:13" ht="15.75" thickBot="1" x14ac:dyDescent="0.3">
      <c r="A150" s="840"/>
      <c r="B150" s="819" t="s">
        <v>1892</v>
      </c>
      <c r="C150" s="818">
        <f>IF(C139=0,C149, C142)</f>
        <v>0</v>
      </c>
      <c r="D150" s="792" t="s">
        <v>1846</v>
      </c>
      <c r="E150" s="25"/>
      <c r="F150" s="202"/>
      <c r="G150" s="709"/>
      <c r="H150" s="709"/>
      <c r="I150" s="709"/>
      <c r="J150" s="709"/>
      <c r="K150" s="709"/>
      <c r="L150" s="709"/>
      <c r="M150" s="692"/>
    </row>
    <row r="151" spans="1:13" x14ac:dyDescent="0.25">
      <c r="A151" s="681"/>
      <c r="B151" s="68"/>
      <c r="C151" s="339"/>
      <c r="D151" s="57"/>
      <c r="E151" s="681"/>
      <c r="F151" s="202"/>
      <c r="G151" s="709"/>
      <c r="H151" s="709"/>
      <c r="I151" s="709"/>
      <c r="J151" s="709"/>
      <c r="K151" s="709"/>
      <c r="L151" s="709"/>
      <c r="M151" s="692"/>
    </row>
    <row r="152" spans="1:13" x14ac:dyDescent="0.25">
      <c r="A152" s="681"/>
      <c r="B152" s="680" t="s">
        <v>614</v>
      </c>
      <c r="C152" s="685">
        <f>'Input Data'!E100*'Input Data'!E13</f>
        <v>0</v>
      </c>
      <c r="D152" s="682" t="s">
        <v>1575</v>
      </c>
      <c r="E152" s="111"/>
      <c r="F152" s="202"/>
      <c r="G152" s="709"/>
      <c r="H152" s="709"/>
      <c r="I152" s="709"/>
      <c r="J152" s="709"/>
      <c r="K152" s="709"/>
      <c r="L152" s="709"/>
      <c r="M152" s="692"/>
    </row>
    <row r="153" spans="1:13" ht="27" x14ac:dyDescent="0.25">
      <c r="A153" s="681"/>
      <c r="B153" s="681" t="s">
        <v>1895</v>
      </c>
      <c r="C153" s="685">
        <f>'Conversion factors'!B3</f>
        <v>1.1200000000000001</v>
      </c>
      <c r="D153" s="682"/>
      <c r="E153" s="681"/>
      <c r="F153" s="197" t="s">
        <v>1896</v>
      </c>
      <c r="G153" s="709"/>
      <c r="H153" s="709"/>
      <c r="I153" s="709"/>
      <c r="J153" s="709"/>
      <c r="K153" s="709"/>
      <c r="L153" s="709"/>
      <c r="M153" s="692"/>
    </row>
    <row r="154" spans="1:13" ht="15.75" thickBot="1" x14ac:dyDescent="0.3">
      <c r="A154" s="681"/>
      <c r="B154" s="260" t="s">
        <v>1897</v>
      </c>
      <c r="C154" s="719">
        <f>'Conversion factors'!B43</f>
        <v>6.6199999999999995E-2</v>
      </c>
      <c r="D154" s="682" t="s">
        <v>1884</v>
      </c>
      <c r="E154" s="681"/>
      <c r="F154" s="686" t="s">
        <v>1841</v>
      </c>
      <c r="G154" s="709"/>
      <c r="H154" s="709"/>
      <c r="I154" s="709"/>
      <c r="J154" s="709"/>
      <c r="K154" s="709"/>
      <c r="L154" s="709"/>
      <c r="M154" s="692"/>
    </row>
    <row r="155" spans="1:13" ht="15.75" thickBot="1" x14ac:dyDescent="0.3">
      <c r="A155" s="840"/>
      <c r="B155" s="183" t="s">
        <v>1898</v>
      </c>
      <c r="C155" s="339">
        <f>C152*C154/C153</f>
        <v>0</v>
      </c>
      <c r="D155" s="682" t="s">
        <v>1899</v>
      </c>
      <c r="E155" s="681"/>
      <c r="F155" s="202"/>
      <c r="G155" s="709"/>
      <c r="H155" s="709"/>
      <c r="I155" s="709"/>
      <c r="J155" s="709"/>
      <c r="K155" s="709"/>
      <c r="L155" s="709"/>
      <c r="M155" s="692"/>
    </row>
    <row r="156" spans="1:13" x14ac:dyDescent="0.25">
      <c r="A156" s="681"/>
      <c r="B156" s="68"/>
      <c r="C156" s="339"/>
      <c r="D156" s="57"/>
      <c r="E156" s="681"/>
      <c r="F156" s="202"/>
      <c r="G156" s="261"/>
      <c r="H156" s="119"/>
      <c r="I156" s="119"/>
      <c r="J156" s="119"/>
      <c r="K156" s="119"/>
      <c r="L156" s="119"/>
      <c r="M156" s="709"/>
    </row>
    <row r="157" spans="1:13" ht="15.75" thickBot="1" x14ac:dyDescent="0.3">
      <c r="A157" s="681"/>
      <c r="B157" s="680" t="s">
        <v>1900</v>
      </c>
      <c r="C157" s="833" t="e">
        <f>C280</f>
        <v>#DIV/0!</v>
      </c>
      <c r="D157" s="39" t="s">
        <v>1575</v>
      </c>
      <c r="E157" s="681"/>
      <c r="F157" s="213" t="s">
        <v>1901</v>
      </c>
      <c r="G157" s="709"/>
      <c r="H157" s="709"/>
      <c r="I157" s="709"/>
      <c r="J157" s="709"/>
      <c r="K157" s="709"/>
      <c r="L157" s="709"/>
      <c r="M157" s="709"/>
    </row>
    <row r="158" spans="1:13" ht="15.75" thickBot="1" x14ac:dyDescent="0.3">
      <c r="A158" s="681"/>
      <c r="B158" s="680" t="s">
        <v>621</v>
      </c>
      <c r="C158" s="395">
        <f>'Input Data'!E102</f>
        <v>0</v>
      </c>
      <c r="D158" s="47" t="s">
        <v>622</v>
      </c>
      <c r="E158" s="681"/>
      <c r="F158" s="209" t="s">
        <v>1902</v>
      </c>
      <c r="G158" s="709"/>
      <c r="H158" s="709"/>
      <c r="I158" s="709"/>
      <c r="J158" s="709"/>
      <c r="K158" s="709"/>
      <c r="L158" s="709"/>
      <c r="M158" s="692"/>
    </row>
    <row r="159" spans="1:13" ht="15.75" thickBot="1" x14ac:dyDescent="0.3">
      <c r="A159" s="840"/>
      <c r="B159" s="189" t="s">
        <v>1903</v>
      </c>
      <c r="C159" s="402" t="e">
        <f>C157*C158/1000</f>
        <v>#DIV/0!</v>
      </c>
      <c r="D159" s="39" t="s">
        <v>1904</v>
      </c>
      <c r="E159" s="681"/>
      <c r="F159" s="203"/>
      <c r="G159" s="709"/>
      <c r="H159" s="709"/>
      <c r="I159" s="709"/>
      <c r="J159" s="709"/>
      <c r="K159" s="709"/>
      <c r="L159" s="709"/>
      <c r="M159" s="692"/>
    </row>
    <row r="160" spans="1:13" x14ac:dyDescent="0.25">
      <c r="A160" s="25"/>
      <c r="B160" s="68"/>
      <c r="C160" s="339"/>
      <c r="D160" s="57"/>
      <c r="E160" s="681"/>
      <c r="F160" s="203"/>
      <c r="G160" s="709"/>
      <c r="H160" s="709"/>
      <c r="I160" s="709"/>
      <c r="J160" s="709"/>
      <c r="K160" s="709"/>
      <c r="L160" s="709"/>
      <c r="M160" s="692"/>
    </row>
    <row r="161" spans="1:13" s="692" customFormat="1" ht="15.75" thickBot="1" x14ac:dyDescent="0.3">
      <c r="A161" s="681"/>
      <c r="B161" s="680" t="s">
        <v>1905</v>
      </c>
      <c r="C161" s="833" t="e">
        <f>C284</f>
        <v>#DIV/0!</v>
      </c>
      <c r="D161" s="39" t="s">
        <v>1575</v>
      </c>
      <c r="E161" s="681"/>
      <c r="F161" s="213" t="s">
        <v>1901</v>
      </c>
      <c r="G161" s="709"/>
      <c r="H161" s="709"/>
      <c r="I161" s="709"/>
      <c r="J161" s="709"/>
      <c r="K161" s="709"/>
      <c r="L161" s="709"/>
    </row>
    <row r="162" spans="1:13" ht="16.5" thickBot="1" x14ac:dyDescent="0.35">
      <c r="A162" s="25"/>
      <c r="B162" s="680" t="s">
        <v>621</v>
      </c>
      <c r="C162" s="395">
        <f>'Input Data'!E102</f>
        <v>0</v>
      </c>
      <c r="D162" s="47" t="s">
        <v>622</v>
      </c>
      <c r="E162" s="25"/>
      <c r="F162" s="233"/>
      <c r="G162" s="709"/>
      <c r="H162" s="709"/>
      <c r="I162" s="709"/>
      <c r="J162" s="709"/>
      <c r="K162" s="709"/>
      <c r="L162" s="709"/>
      <c r="M162" s="692"/>
    </row>
    <row r="163" spans="1:13" ht="15.75" thickBot="1" x14ac:dyDescent="0.3">
      <c r="A163" s="840"/>
      <c r="B163" s="186" t="s">
        <v>1906</v>
      </c>
      <c r="C163" s="402" t="e">
        <f>C161*C162/1000</f>
        <v>#DIV/0!</v>
      </c>
      <c r="D163" s="39" t="s">
        <v>1846</v>
      </c>
      <c r="E163" s="681"/>
      <c r="F163" s="202"/>
      <c r="G163" s="709"/>
      <c r="H163" s="709"/>
      <c r="I163" s="709"/>
      <c r="J163" s="709"/>
      <c r="K163" s="709"/>
      <c r="L163" s="709"/>
      <c r="M163" s="692"/>
    </row>
    <row r="164" spans="1:13" ht="15.75" thickBot="1" x14ac:dyDescent="0.3">
      <c r="A164" s="681"/>
      <c r="B164" s="68"/>
      <c r="C164" s="681"/>
      <c r="D164" s="681"/>
      <c r="E164" s="681"/>
      <c r="F164" s="202"/>
      <c r="G164" s="709"/>
      <c r="H164" s="709"/>
      <c r="I164" s="709"/>
      <c r="J164" s="709"/>
      <c r="K164" s="709"/>
      <c r="L164" s="709"/>
      <c r="M164" s="692"/>
    </row>
    <row r="165" spans="1:13" ht="15.75" thickBot="1" x14ac:dyDescent="0.3">
      <c r="A165" s="681"/>
      <c r="B165" s="680" t="s">
        <v>639</v>
      </c>
      <c r="C165" s="395">
        <f>'Input Data'!E110</f>
        <v>0</v>
      </c>
      <c r="D165" s="681" t="s">
        <v>371</v>
      </c>
      <c r="E165" s="681"/>
      <c r="F165" s="681"/>
      <c r="G165" s="709"/>
      <c r="H165" s="709"/>
      <c r="I165" s="709"/>
      <c r="J165" s="709"/>
      <c r="K165" s="709"/>
      <c r="L165" s="709"/>
      <c r="M165" s="692"/>
    </row>
    <row r="166" spans="1:13" x14ac:dyDescent="0.25">
      <c r="A166" s="681"/>
      <c r="B166" s="680" t="s">
        <v>639</v>
      </c>
      <c r="C166" s="684" t="e">
        <f>C165/('Input Data'!E69+'Input Data'!E72)*100</f>
        <v>#DIV/0!</v>
      </c>
      <c r="D166" s="682" t="s">
        <v>1907</v>
      </c>
      <c r="E166" s="681"/>
      <c r="F166" s="202"/>
      <c r="G166" s="709"/>
      <c r="H166" s="709"/>
      <c r="I166" s="709"/>
      <c r="J166" s="709"/>
      <c r="K166" s="709"/>
      <c r="L166" s="709"/>
      <c r="M166" s="692"/>
    </row>
    <row r="167" spans="1:13" x14ac:dyDescent="0.25">
      <c r="A167" s="681"/>
      <c r="B167" s="680" t="s">
        <v>1908</v>
      </c>
      <c r="C167" s="684" t="e">
        <f>C18</f>
        <v>#DIV/0!</v>
      </c>
      <c r="D167" s="682" t="s">
        <v>1822</v>
      </c>
      <c r="E167" s="681"/>
      <c r="F167" s="202"/>
      <c r="G167" s="709"/>
      <c r="H167" s="709"/>
      <c r="I167" s="709"/>
      <c r="J167" s="709"/>
      <c r="K167" s="709"/>
      <c r="L167" s="709"/>
      <c r="M167" s="692"/>
    </row>
    <row r="168" spans="1:13" ht="15.75" thickBot="1" x14ac:dyDescent="0.3">
      <c r="A168" s="681"/>
      <c r="B168" s="680" t="s">
        <v>639</v>
      </c>
      <c r="C168" s="405" t="e">
        <f>'Input Data'!E12*'P3 Agric'!C166/100</f>
        <v>#DIV/0!</v>
      </c>
      <c r="D168" s="682" t="s">
        <v>536</v>
      </c>
      <c r="E168" s="25"/>
      <c r="F168" s="207"/>
      <c r="G168" s="709"/>
      <c r="H168" s="709"/>
      <c r="I168" s="709"/>
      <c r="J168" s="709"/>
      <c r="K168" s="709"/>
      <c r="L168" s="709"/>
      <c r="M168" s="692"/>
    </row>
    <row r="169" spans="1:13" ht="27.75" thickBot="1" x14ac:dyDescent="0.3">
      <c r="A169" s="681"/>
      <c r="B169" s="680" t="s">
        <v>642</v>
      </c>
      <c r="C169" s="395">
        <f>'Input Data'!E111</f>
        <v>0</v>
      </c>
      <c r="D169" s="682" t="s">
        <v>643</v>
      </c>
      <c r="E169" s="681"/>
      <c r="F169" s="686" t="s">
        <v>644</v>
      </c>
      <c r="G169" s="709"/>
      <c r="H169" s="709"/>
      <c r="I169" s="709"/>
      <c r="J169" s="709"/>
      <c r="K169" s="709"/>
      <c r="L169" s="709"/>
      <c r="M169" s="692"/>
    </row>
    <row r="170" spans="1:13" ht="15.75" thickBot="1" x14ac:dyDescent="0.3">
      <c r="A170" s="681"/>
      <c r="B170" s="67" t="s">
        <v>646</v>
      </c>
      <c r="C170" s="395">
        <f>'Input Data'!E112</f>
        <v>0</v>
      </c>
      <c r="D170" s="682" t="s">
        <v>647</v>
      </c>
      <c r="E170" s="681"/>
      <c r="F170" s="207"/>
      <c r="G170" s="709"/>
      <c r="H170" s="709"/>
      <c r="I170" s="709"/>
      <c r="J170" s="709"/>
      <c r="K170" s="709"/>
      <c r="L170" s="709"/>
      <c r="M170" s="692"/>
    </row>
    <row r="171" spans="1:13" x14ac:dyDescent="0.25">
      <c r="A171" s="681"/>
      <c r="B171" s="67" t="s">
        <v>1909</v>
      </c>
      <c r="C171" s="339">
        <f>C170/2</f>
        <v>0</v>
      </c>
      <c r="D171" s="682" t="s">
        <v>1910</v>
      </c>
      <c r="E171" s="681"/>
      <c r="F171" s="209" t="s">
        <v>1911</v>
      </c>
      <c r="G171" s="709"/>
      <c r="H171" s="709"/>
      <c r="I171" s="709"/>
      <c r="J171" s="709"/>
      <c r="K171" s="709"/>
      <c r="L171" s="709"/>
      <c r="M171" s="692"/>
    </row>
    <row r="172" spans="1:13" x14ac:dyDescent="0.25">
      <c r="A172" s="681"/>
      <c r="B172" s="680" t="s">
        <v>1912</v>
      </c>
      <c r="C172" s="339">
        <f>C169-C171*10</f>
        <v>0</v>
      </c>
      <c r="D172" s="682" t="s">
        <v>643</v>
      </c>
      <c r="E172" s="25"/>
      <c r="F172" s="209"/>
      <c r="G172" s="709"/>
      <c r="H172" s="709"/>
      <c r="I172" s="709"/>
      <c r="J172" s="709"/>
      <c r="K172" s="709"/>
      <c r="L172" s="709"/>
      <c r="M172" s="692"/>
    </row>
    <row r="173" spans="1:13" x14ac:dyDescent="0.25">
      <c r="A173" s="680"/>
      <c r="B173" s="680" t="s">
        <v>1913</v>
      </c>
      <c r="C173" s="339">
        <f>'Conversion factors'!B63</f>
        <v>7.0000000000000007E-2</v>
      </c>
      <c r="D173" s="682" t="s">
        <v>1914</v>
      </c>
      <c r="E173" s="680"/>
      <c r="F173" s="209" t="s">
        <v>1915</v>
      </c>
      <c r="G173" s="709"/>
      <c r="H173" s="709"/>
      <c r="I173" s="709"/>
      <c r="J173" s="709"/>
      <c r="K173" s="709"/>
      <c r="L173" s="709"/>
      <c r="M173" s="692"/>
    </row>
    <row r="174" spans="1:13" x14ac:dyDescent="0.25">
      <c r="A174" s="681"/>
      <c r="B174" s="681" t="s">
        <v>1916</v>
      </c>
      <c r="C174" s="685">
        <f>'Conversion factors'!B60</f>
        <v>265</v>
      </c>
      <c r="D174" s="682"/>
      <c r="E174" s="680"/>
      <c r="F174" s="209" t="s">
        <v>1567</v>
      </c>
      <c r="G174" s="709"/>
      <c r="H174" s="709"/>
      <c r="I174" s="709"/>
      <c r="J174" s="709"/>
      <c r="K174" s="709"/>
      <c r="L174" s="709"/>
      <c r="M174" s="692"/>
    </row>
    <row r="175" spans="1:13" x14ac:dyDescent="0.25">
      <c r="A175" s="681"/>
      <c r="B175" s="681" t="s">
        <v>1917</v>
      </c>
      <c r="C175" s="339">
        <f>'Conversion factors'!B64</f>
        <v>2.7</v>
      </c>
      <c r="D175" s="682" t="s">
        <v>1914</v>
      </c>
      <c r="E175" s="680"/>
      <c r="F175" s="209" t="s">
        <v>1915</v>
      </c>
      <c r="G175" s="709"/>
      <c r="H175" s="709"/>
      <c r="I175" s="709"/>
      <c r="J175" s="709"/>
      <c r="K175" s="709"/>
      <c r="L175" s="709"/>
      <c r="M175" s="692"/>
    </row>
    <row r="176" spans="1:13" x14ac:dyDescent="0.25">
      <c r="A176" s="681"/>
      <c r="B176" s="681" t="s">
        <v>1918</v>
      </c>
      <c r="C176" s="339">
        <f>'Conversion factors'!B59</f>
        <v>28</v>
      </c>
      <c r="D176" s="682"/>
      <c r="E176" s="680"/>
      <c r="F176" s="209" t="s">
        <v>1567</v>
      </c>
      <c r="G176" s="709"/>
      <c r="H176" s="709"/>
      <c r="I176" s="709"/>
      <c r="J176" s="709"/>
      <c r="K176" s="709"/>
      <c r="L176" s="709"/>
      <c r="M176" s="692"/>
    </row>
    <row r="177" spans="1:12" ht="15.75" thickBot="1" x14ac:dyDescent="0.3">
      <c r="A177" s="681"/>
      <c r="B177" s="681" t="s">
        <v>1919</v>
      </c>
      <c r="C177" s="339">
        <f>(C173*C174+C175*C176)</f>
        <v>94.15</v>
      </c>
      <c r="D177" s="682" t="s">
        <v>1920</v>
      </c>
      <c r="E177" s="681"/>
      <c r="F177" s="203"/>
      <c r="G177" s="709"/>
      <c r="H177" s="709"/>
      <c r="I177" s="709"/>
      <c r="J177" s="709"/>
      <c r="K177" s="709"/>
      <c r="L177" s="709"/>
    </row>
    <row r="178" spans="1:12" ht="15.75" thickBot="1" x14ac:dyDescent="0.3">
      <c r="A178" s="840"/>
      <c r="B178" s="189" t="s">
        <v>1921</v>
      </c>
      <c r="C178" s="409" t="e">
        <f>C168*C172*C177/1000</f>
        <v>#DIV/0!</v>
      </c>
      <c r="D178" s="39" t="s">
        <v>1846</v>
      </c>
      <c r="E178" s="681"/>
      <c r="F178" s="209"/>
      <c r="G178" s="709"/>
      <c r="H178" s="709"/>
      <c r="I178" s="709"/>
      <c r="J178" s="709"/>
      <c r="K178" s="709"/>
      <c r="L178" s="709"/>
    </row>
    <row r="179" spans="1:12" x14ac:dyDescent="0.25">
      <c r="A179" s="681"/>
      <c r="B179" s="68"/>
      <c r="C179" s="410"/>
      <c r="D179" s="57"/>
      <c r="E179" s="681"/>
      <c r="F179" s="209"/>
      <c r="G179" s="709"/>
      <c r="H179" s="709"/>
      <c r="I179" s="709"/>
      <c r="J179" s="709"/>
      <c r="K179" s="709"/>
      <c r="L179" s="709"/>
    </row>
    <row r="180" spans="1:12" x14ac:dyDescent="0.25">
      <c r="A180" s="681"/>
      <c r="B180" s="680" t="s">
        <v>639</v>
      </c>
      <c r="C180" s="685" t="e">
        <f>C166</f>
        <v>#DIV/0!</v>
      </c>
      <c r="D180" s="682" t="s">
        <v>1907</v>
      </c>
      <c r="E180" s="681"/>
      <c r="F180" s="209"/>
      <c r="G180" s="709"/>
      <c r="H180" s="709"/>
      <c r="I180" s="709"/>
      <c r="J180" s="709"/>
      <c r="K180" s="709"/>
      <c r="L180" s="709"/>
    </row>
    <row r="181" spans="1:12" x14ac:dyDescent="0.25">
      <c r="A181" s="681"/>
      <c r="B181" s="680" t="s">
        <v>1922</v>
      </c>
      <c r="C181" s="685" t="e">
        <f>'Input Data'!E12*(100-'P3 Agric'!C180)/100</f>
        <v>#DIV/0!</v>
      </c>
      <c r="D181" s="682" t="s">
        <v>536</v>
      </c>
      <c r="E181" s="681"/>
      <c r="F181" s="209"/>
      <c r="G181" s="709"/>
      <c r="H181" s="709"/>
      <c r="I181" s="709"/>
      <c r="J181" s="709"/>
      <c r="K181" s="709"/>
      <c r="L181" s="709"/>
    </row>
    <row r="182" spans="1:12" x14ac:dyDescent="0.25">
      <c r="A182" s="681"/>
      <c r="B182" s="680" t="s">
        <v>1912</v>
      </c>
      <c r="C182" s="410">
        <f>C172</f>
        <v>0</v>
      </c>
      <c r="D182" s="682" t="s">
        <v>643</v>
      </c>
      <c r="E182" s="681"/>
      <c r="F182" s="203"/>
      <c r="G182" s="709"/>
      <c r="H182" s="709"/>
      <c r="I182" s="709"/>
      <c r="J182" s="709"/>
      <c r="K182" s="709"/>
      <c r="L182" s="709"/>
    </row>
    <row r="183" spans="1:12" x14ac:dyDescent="0.25">
      <c r="A183" s="681"/>
      <c r="B183" s="681" t="s">
        <v>1923</v>
      </c>
      <c r="C183" s="411" t="e">
        <f>C18</f>
        <v>#DIV/0!</v>
      </c>
      <c r="D183" s="59" t="s">
        <v>1822</v>
      </c>
      <c r="E183" s="681"/>
      <c r="F183" s="209"/>
      <c r="G183" s="709"/>
      <c r="H183" s="709"/>
      <c r="I183" s="709"/>
      <c r="J183" s="709"/>
      <c r="K183" s="709"/>
      <c r="L183" s="709"/>
    </row>
    <row r="184" spans="1:12" s="678" customFormat="1" x14ac:dyDescent="0.25">
      <c r="A184" s="681"/>
      <c r="B184" s="681" t="s">
        <v>1916</v>
      </c>
      <c r="C184" s="685">
        <f>'Conversion factors'!B60</f>
        <v>265</v>
      </c>
      <c r="D184" s="58"/>
      <c r="E184" s="111"/>
      <c r="F184" s="209" t="s">
        <v>1567</v>
      </c>
      <c r="G184" s="709"/>
      <c r="H184" s="709"/>
      <c r="I184" s="709"/>
      <c r="J184" s="709"/>
      <c r="K184" s="709"/>
      <c r="L184" s="709"/>
    </row>
    <row r="185" spans="1:12" x14ac:dyDescent="0.25">
      <c r="A185" s="681"/>
      <c r="B185" s="681" t="s">
        <v>1924</v>
      </c>
      <c r="C185" s="685">
        <f>'Conversion factors'!B65</f>
        <v>0.5</v>
      </c>
      <c r="D185" s="682" t="s">
        <v>210</v>
      </c>
      <c r="E185" s="111"/>
      <c r="F185" s="209" t="s">
        <v>1925</v>
      </c>
      <c r="G185" s="709"/>
      <c r="H185" s="709"/>
      <c r="I185" s="709"/>
      <c r="J185" s="709"/>
      <c r="K185" s="709"/>
      <c r="L185" s="709"/>
    </row>
    <row r="186" spans="1:12" ht="15.75" thickBot="1" x14ac:dyDescent="0.3">
      <c r="A186" s="681"/>
      <c r="B186" s="681" t="s">
        <v>1926</v>
      </c>
      <c r="C186" s="685">
        <f>'Conversion factors'!B68</f>
        <v>1.2250000000000001</v>
      </c>
      <c r="D186" s="682" t="s">
        <v>210</v>
      </c>
      <c r="E186" s="111"/>
      <c r="F186" s="209" t="s">
        <v>1927</v>
      </c>
      <c r="G186" s="709"/>
      <c r="H186" s="709"/>
      <c r="I186" s="709"/>
      <c r="J186" s="709"/>
      <c r="K186" s="709"/>
      <c r="L186" s="709"/>
    </row>
    <row r="187" spans="1:12" ht="15.75" thickBot="1" x14ac:dyDescent="0.3">
      <c r="A187" s="840"/>
      <c r="B187" s="186" t="s">
        <v>1928</v>
      </c>
      <c r="C187" s="161" t="e">
        <f>C181*C182*C185/100*C186/100*44/28*C184</f>
        <v>#DIV/0!</v>
      </c>
      <c r="D187" s="39" t="s">
        <v>1846</v>
      </c>
      <c r="E187" s="111"/>
      <c r="F187" s="209" t="s">
        <v>1929</v>
      </c>
      <c r="G187" s="709"/>
      <c r="H187" s="709"/>
      <c r="I187" s="709"/>
      <c r="J187" s="709"/>
      <c r="K187" s="709"/>
      <c r="L187" s="709"/>
    </row>
    <row r="188" spans="1:12" x14ac:dyDescent="0.25">
      <c r="A188" s="681"/>
      <c r="B188" s="68"/>
      <c r="C188" s="339"/>
      <c r="D188" s="59"/>
      <c r="E188" s="681"/>
      <c r="F188" s="209"/>
      <c r="G188" s="709"/>
      <c r="H188" s="709"/>
      <c r="I188" s="709"/>
      <c r="J188" s="709"/>
      <c r="K188" s="709"/>
      <c r="L188" s="709"/>
    </row>
    <row r="189" spans="1:12" ht="15.75" thickBot="1" x14ac:dyDescent="0.3">
      <c r="A189" s="681"/>
      <c r="B189" s="681" t="s">
        <v>1930</v>
      </c>
      <c r="C189" s="411">
        <f>'Input Data'!E13</f>
        <v>0</v>
      </c>
      <c r="D189" s="59" t="s">
        <v>371</v>
      </c>
      <c r="E189" s="681"/>
      <c r="F189" s="209"/>
      <c r="G189" s="709"/>
      <c r="H189" s="709"/>
      <c r="I189" s="709"/>
      <c r="J189" s="709"/>
      <c r="K189" s="709"/>
      <c r="L189" s="709"/>
    </row>
    <row r="190" spans="1:12" ht="15.75" thickBot="1" x14ac:dyDescent="0.3">
      <c r="A190" s="681"/>
      <c r="B190" s="680" t="s">
        <v>649</v>
      </c>
      <c r="C190" s="412">
        <f>'Input Data'!E113</f>
        <v>0</v>
      </c>
      <c r="D190" s="682" t="s">
        <v>650</v>
      </c>
      <c r="E190" s="681"/>
      <c r="F190" s="209"/>
      <c r="G190" s="709"/>
      <c r="H190" s="709"/>
      <c r="I190" s="709"/>
      <c r="J190" s="709"/>
      <c r="K190" s="709"/>
      <c r="L190" s="709"/>
    </row>
    <row r="191" spans="1:12" x14ac:dyDescent="0.25">
      <c r="A191" s="681"/>
      <c r="B191" s="680" t="s">
        <v>1931</v>
      </c>
      <c r="C191" s="405" t="e">
        <f>C190/C189</f>
        <v>#DIV/0!</v>
      </c>
      <c r="D191" s="682" t="s">
        <v>1932</v>
      </c>
      <c r="E191" s="681"/>
      <c r="F191" s="209"/>
      <c r="G191" s="709"/>
      <c r="H191" s="709"/>
      <c r="I191" s="709"/>
      <c r="J191" s="709"/>
      <c r="K191" s="709"/>
      <c r="L191" s="709"/>
    </row>
    <row r="192" spans="1:12" x14ac:dyDescent="0.25">
      <c r="A192" s="681"/>
      <c r="B192" s="681" t="s">
        <v>1916</v>
      </c>
      <c r="C192" s="685">
        <f>'Conversion factors'!B60</f>
        <v>265</v>
      </c>
      <c r="D192" s="58"/>
      <c r="E192" s="681"/>
      <c r="F192" s="209" t="s">
        <v>1567</v>
      </c>
      <c r="G192" s="709"/>
      <c r="H192" s="709"/>
      <c r="I192" s="709"/>
      <c r="J192" s="709"/>
      <c r="K192" s="709"/>
      <c r="L192" s="709"/>
    </row>
    <row r="193" spans="1:12" x14ac:dyDescent="0.25">
      <c r="A193" s="681"/>
      <c r="B193" s="681" t="s">
        <v>1933</v>
      </c>
      <c r="C193" s="685">
        <f>'Conversion factors'!B66</f>
        <v>1.25</v>
      </c>
      <c r="D193" s="682" t="s">
        <v>210</v>
      </c>
      <c r="E193" s="680"/>
      <c r="F193" s="686" t="s">
        <v>1934</v>
      </c>
      <c r="G193" s="709"/>
      <c r="H193" s="709"/>
      <c r="I193" s="709"/>
      <c r="J193" s="709"/>
      <c r="K193" s="709"/>
      <c r="L193" s="709"/>
    </row>
    <row r="194" spans="1:12" s="607" customFormat="1" ht="15.75" thickBot="1" x14ac:dyDescent="0.3">
      <c r="A194" s="681"/>
      <c r="B194" s="681" t="s">
        <v>1926</v>
      </c>
      <c r="C194" s="685">
        <f>'Conversion factors'!B68</f>
        <v>1.2250000000000001</v>
      </c>
      <c r="D194" s="682" t="s">
        <v>210</v>
      </c>
      <c r="E194" s="680"/>
      <c r="F194" s="209" t="s">
        <v>1935</v>
      </c>
      <c r="G194" s="709"/>
      <c r="H194" s="709"/>
      <c r="I194" s="709"/>
      <c r="J194" s="709"/>
      <c r="K194" s="709"/>
      <c r="L194" s="709"/>
    </row>
    <row r="195" spans="1:12" s="607" customFormat="1" ht="15.75" thickBot="1" x14ac:dyDescent="0.3">
      <c r="A195" s="840"/>
      <c r="B195" s="186" t="s">
        <v>1936</v>
      </c>
      <c r="C195" s="402">
        <f>C190*C193/100*0.25*C194/100*44/28*C192</f>
        <v>0</v>
      </c>
      <c r="D195" s="682" t="s">
        <v>1899</v>
      </c>
      <c r="E195" s="680"/>
      <c r="F195" s="209" t="s">
        <v>1929</v>
      </c>
      <c r="G195" s="709"/>
      <c r="H195" s="709"/>
      <c r="I195" s="709"/>
      <c r="J195" s="709"/>
      <c r="K195" s="709"/>
      <c r="L195" s="709"/>
    </row>
    <row r="196" spans="1:12" s="607" customFormat="1" x14ac:dyDescent="0.25">
      <c r="A196" s="681"/>
      <c r="B196" s="68"/>
      <c r="C196" s="339"/>
      <c r="D196" s="59"/>
      <c r="E196" s="680"/>
      <c r="F196" s="686"/>
      <c r="G196" s="709"/>
      <c r="H196" s="709"/>
      <c r="I196" s="709"/>
      <c r="J196" s="709"/>
      <c r="K196" s="709"/>
      <c r="L196" s="709"/>
    </row>
    <row r="197" spans="1:12" s="607" customFormat="1" x14ac:dyDescent="0.25">
      <c r="A197" s="681"/>
      <c r="B197" s="680" t="s">
        <v>1937</v>
      </c>
      <c r="C197" s="685">
        <f>'Conversion factors'!B68</f>
        <v>1.2250000000000001</v>
      </c>
      <c r="D197" s="682" t="s">
        <v>210</v>
      </c>
      <c r="E197" s="680"/>
      <c r="F197" s="209" t="s">
        <v>1935</v>
      </c>
      <c r="G197" s="709"/>
      <c r="H197" s="709"/>
      <c r="I197" s="709"/>
      <c r="J197" s="709"/>
      <c r="K197" s="709"/>
      <c r="L197" s="709"/>
    </row>
    <row r="198" spans="1:12" s="607" customFormat="1" x14ac:dyDescent="0.25">
      <c r="A198" s="681"/>
      <c r="B198" s="680" t="s">
        <v>1938</v>
      </c>
      <c r="C198" s="685">
        <f>0.36*11/1000*44/28*C197/100*C199</f>
        <v>2.0200950000000002E-2</v>
      </c>
      <c r="D198" s="60" t="s">
        <v>1939</v>
      </c>
      <c r="E198" s="680"/>
      <c r="F198" s="209" t="s">
        <v>1929</v>
      </c>
      <c r="G198" s="709"/>
      <c r="H198" s="709"/>
      <c r="I198" s="709"/>
      <c r="J198" s="709"/>
      <c r="K198" s="709"/>
      <c r="L198" s="709"/>
    </row>
    <row r="199" spans="1:12" x14ac:dyDescent="0.25">
      <c r="A199" s="681"/>
      <c r="B199" s="680" t="s">
        <v>1569</v>
      </c>
      <c r="C199" s="685">
        <f>'Conversion factors'!B60</f>
        <v>265</v>
      </c>
      <c r="D199" s="682"/>
      <c r="E199" s="680"/>
      <c r="F199" s="209" t="s">
        <v>1567</v>
      </c>
      <c r="G199" s="709"/>
      <c r="H199" s="709"/>
      <c r="I199" s="709"/>
      <c r="J199" s="709"/>
      <c r="K199" s="709"/>
      <c r="L199" s="709"/>
    </row>
    <row r="200" spans="1:12" x14ac:dyDescent="0.25">
      <c r="A200" s="681"/>
      <c r="B200" s="67" t="s">
        <v>1940</v>
      </c>
      <c r="C200" s="685">
        <f>'Input Data'!E17*1000</f>
        <v>0</v>
      </c>
      <c r="D200" s="61" t="s">
        <v>1941</v>
      </c>
      <c r="E200" s="680"/>
      <c r="F200" s="236"/>
      <c r="G200" s="709"/>
      <c r="H200" s="709"/>
      <c r="I200" s="709"/>
      <c r="J200" s="709"/>
      <c r="K200" s="709"/>
      <c r="L200" s="709"/>
    </row>
    <row r="201" spans="1:12" s="709" customFormat="1" x14ac:dyDescent="0.25">
      <c r="A201" s="25"/>
      <c r="B201" s="680" t="s">
        <v>1321</v>
      </c>
      <c r="C201" s="425">
        <f>'Input Data'!E15</f>
        <v>0</v>
      </c>
      <c r="D201" s="682" t="s">
        <v>536</v>
      </c>
      <c r="E201" s="680"/>
      <c r="F201" s="686"/>
    </row>
    <row r="202" spans="1:12" s="709" customFormat="1" ht="15.75" thickBot="1" x14ac:dyDescent="0.3">
      <c r="A202" s="681"/>
      <c r="B202" s="681" t="s">
        <v>1923</v>
      </c>
      <c r="C202" s="684" t="e">
        <f>C18</f>
        <v>#DIV/0!</v>
      </c>
      <c r="D202" s="682" t="s">
        <v>1822</v>
      </c>
      <c r="E202" s="680"/>
      <c r="F202" s="686"/>
    </row>
    <row r="203" spans="1:12" s="709" customFormat="1" ht="15.75" thickBot="1" x14ac:dyDescent="0.3">
      <c r="A203" s="681"/>
      <c r="B203" s="679" t="s">
        <v>1942</v>
      </c>
      <c r="C203" s="412">
        <f>'Input Data'!E114</f>
        <v>0</v>
      </c>
      <c r="D203" s="683" t="s">
        <v>428</v>
      </c>
      <c r="E203" s="680"/>
      <c r="F203" s="686"/>
    </row>
    <row r="204" spans="1:12" s="709" customFormat="1" x14ac:dyDescent="0.25">
      <c r="A204" s="681"/>
      <c r="B204" s="679" t="s">
        <v>1943</v>
      </c>
      <c r="C204" s="684">
        <f>'Conversion factors'!B67</f>
        <v>0.36</v>
      </c>
      <c r="D204" s="683" t="str">
        <f>'Conversion factors'!C67</f>
        <v>g/m3</v>
      </c>
      <c r="E204" s="680"/>
      <c r="F204" s="686"/>
    </row>
    <row r="205" spans="1:12" s="709" customFormat="1" ht="15.75" thickBot="1" x14ac:dyDescent="0.3">
      <c r="A205" s="681"/>
      <c r="B205" s="680" t="s">
        <v>1944</v>
      </c>
      <c r="C205" s="684">
        <f>IF(C200=0,0,C203/'Input Data'!E17)</f>
        <v>0</v>
      </c>
      <c r="D205" s="682" t="s">
        <v>1945</v>
      </c>
      <c r="E205" s="25"/>
      <c r="F205" s="207"/>
    </row>
    <row r="206" spans="1:12" s="709" customFormat="1" ht="15.75" thickBot="1" x14ac:dyDescent="0.3">
      <c r="A206" s="840"/>
      <c r="B206" s="186" t="s">
        <v>1946</v>
      </c>
      <c r="C206" s="161">
        <f>IFERROR(C203*C204/1000*C197/100*44/28*C199,"")</f>
        <v>0</v>
      </c>
      <c r="D206" s="39" t="s">
        <v>1846</v>
      </c>
      <c r="E206" s="681"/>
      <c r="F206" s="203"/>
    </row>
    <row r="207" spans="1:12" s="709" customFormat="1" ht="15.75" thickBot="1" x14ac:dyDescent="0.3">
      <c r="A207" s="681"/>
      <c r="B207" s="68"/>
      <c r="C207" s="685"/>
      <c r="D207" s="61"/>
      <c r="E207" s="681"/>
      <c r="F207" s="203"/>
    </row>
    <row r="208" spans="1:12" s="709" customFormat="1" ht="15.75" thickBot="1" x14ac:dyDescent="0.3">
      <c r="A208" s="681"/>
      <c r="B208" s="681" t="s">
        <v>1947</v>
      </c>
      <c r="C208" s="412">
        <f>'Input Data'!E115</f>
        <v>0</v>
      </c>
      <c r="D208" s="39" t="s">
        <v>655</v>
      </c>
      <c r="E208" s="681"/>
      <c r="F208" s="686" t="s">
        <v>656</v>
      </c>
    </row>
    <row r="209" spans="1:12" s="709" customFormat="1" x14ac:dyDescent="0.25">
      <c r="A209" s="681"/>
      <c r="B209" s="68"/>
      <c r="C209" s="339"/>
      <c r="D209" s="59"/>
      <c r="E209" s="681"/>
      <c r="F209" s="202"/>
    </row>
    <row r="210" spans="1:12" s="709" customFormat="1" ht="15.75" thickBot="1" x14ac:dyDescent="0.3">
      <c r="A210" s="681"/>
      <c r="B210" s="681"/>
      <c r="C210" s="95"/>
      <c r="D210" s="39"/>
      <c r="E210" s="681"/>
      <c r="F210" s="202"/>
    </row>
    <row r="211" spans="1:12" s="709" customFormat="1" ht="15.75" thickBot="1" x14ac:dyDescent="0.3">
      <c r="A211" s="681"/>
      <c r="B211" s="699" t="s">
        <v>1948</v>
      </c>
      <c r="C211" s="824" t="e">
        <f>SUM(C85,C89,C93,C98,C102,C106,C110,C114,C125,C131,C137,C150, C155,C159,C163,C178,C187,C195,C206,C208)</f>
        <v>#DIV/0!</v>
      </c>
      <c r="D211" s="39" t="s">
        <v>1846</v>
      </c>
      <c r="E211" s="681"/>
      <c r="F211" s="202"/>
    </row>
    <row r="212" spans="1:12" s="709" customFormat="1" ht="15.75" thickBot="1" x14ac:dyDescent="0.3">
      <c r="A212" s="681"/>
      <c r="B212" s="699" t="s">
        <v>1949</v>
      </c>
      <c r="C212" s="707" t="e">
        <f>C211/'Input Data'!E12</f>
        <v>#DIV/0!</v>
      </c>
      <c r="D212" s="295" t="s">
        <v>1950</v>
      </c>
      <c r="E212" s="122"/>
      <c r="F212" s="294" t="s">
        <v>1951</v>
      </c>
    </row>
    <row r="213" spans="1:12" s="709" customFormat="1" ht="15.75" thickBot="1" x14ac:dyDescent="0.3">
      <c r="A213" s="681"/>
      <c r="B213" s="681"/>
      <c r="C213" s="296"/>
      <c r="D213" s="682"/>
      <c r="E213" s="122"/>
      <c r="F213" s="249"/>
    </row>
    <row r="214" spans="1:12" s="709" customFormat="1" x14ac:dyDescent="0.25">
      <c r="A214" s="681"/>
      <c r="B214" s="771" t="s">
        <v>1952</v>
      </c>
      <c r="C214" s="823">
        <f>'P6 Agric'!C56/1000000</f>
        <v>0</v>
      </c>
      <c r="D214" s="792" t="s">
        <v>1953</v>
      </c>
      <c r="E214" s="681"/>
      <c r="F214" s="237" t="s">
        <v>1954</v>
      </c>
    </row>
    <row r="215" spans="1:12" s="709" customFormat="1" ht="15.95" customHeight="1" thickBot="1" x14ac:dyDescent="0.3">
      <c r="A215" s="681"/>
      <c r="B215" s="680" t="s">
        <v>1955</v>
      </c>
      <c r="C215" s="412">
        <f>'Input Data'!$E$88</f>
        <v>0</v>
      </c>
      <c r="D215" s="682" t="s">
        <v>371</v>
      </c>
      <c r="E215" s="681"/>
      <c r="F215" s="209" t="s">
        <v>1956</v>
      </c>
    </row>
    <row r="216" spans="1:12" x14ac:dyDescent="0.25">
      <c r="A216" s="681"/>
      <c r="B216" s="680" t="s">
        <v>1957</v>
      </c>
      <c r="C216" s="426" t="e">
        <f>C214*C215/'Input Data'!E13</f>
        <v>#DIV/0!</v>
      </c>
      <c r="D216" s="39" t="s">
        <v>1958</v>
      </c>
      <c r="E216" s="681"/>
      <c r="F216" s="209" t="s">
        <v>1959</v>
      </c>
      <c r="G216" s="709"/>
      <c r="H216" s="709"/>
      <c r="I216" s="709"/>
      <c r="J216" s="709"/>
      <c r="K216" s="709"/>
      <c r="L216" s="709"/>
    </row>
    <row r="217" spans="1:12" ht="15.75" thickBot="1" x14ac:dyDescent="0.3">
      <c r="A217" s="681"/>
      <c r="B217" s="680"/>
      <c r="C217" s="64"/>
      <c r="D217" s="682"/>
      <c r="E217" s="681"/>
      <c r="F217" s="209"/>
      <c r="G217" s="709"/>
      <c r="H217" s="709"/>
      <c r="I217" s="709"/>
      <c r="J217" s="709"/>
      <c r="K217" s="709"/>
      <c r="L217" s="709"/>
    </row>
    <row r="218" spans="1:12" ht="15.75" thickBot="1" x14ac:dyDescent="0.3">
      <c r="A218" s="840"/>
      <c r="B218" s="186" t="s">
        <v>1960</v>
      </c>
      <c r="C218" s="426" t="e">
        <f>C216*1000/C18</f>
        <v>#DIV/0!</v>
      </c>
      <c r="D218" s="39" t="s">
        <v>1961</v>
      </c>
      <c r="E218" s="681"/>
      <c r="F218" s="209"/>
      <c r="G218" s="709"/>
      <c r="H218" s="709"/>
      <c r="I218" s="709"/>
      <c r="J218" s="709"/>
      <c r="K218" s="709"/>
      <c r="L218" s="709"/>
    </row>
    <row r="219" spans="1:12" ht="15.75" thickBot="1" x14ac:dyDescent="0.3">
      <c r="A219" s="681"/>
      <c r="B219" s="69"/>
      <c r="C219" s="62"/>
      <c r="D219" s="39"/>
      <c r="E219" s="25"/>
      <c r="F219" s="203"/>
      <c r="G219" s="709"/>
      <c r="H219" s="709"/>
      <c r="I219" s="709"/>
      <c r="J219" s="709"/>
      <c r="K219" s="709"/>
      <c r="L219" s="709"/>
    </row>
    <row r="220" spans="1:12" ht="15.75" thickBot="1" x14ac:dyDescent="0.3">
      <c r="A220" s="873" t="s">
        <v>1962</v>
      </c>
      <c r="B220" s="163" t="s">
        <v>1834</v>
      </c>
      <c r="C220" s="113" t="e">
        <f>C212+C218</f>
        <v>#DIV/0!</v>
      </c>
      <c r="D220" s="150" t="s">
        <v>1950</v>
      </c>
      <c r="E220" s="40" t="str">
        <f>IF(AND(C8=0,C13=0),"",IF(C220&lt;40,"COMPLIANT","NOT COMPLIANT"))</f>
        <v/>
      </c>
      <c r="F220" s="294" t="s">
        <v>1963</v>
      </c>
      <c r="G220" s="709"/>
      <c r="H220" s="709"/>
      <c r="I220" s="709"/>
      <c r="J220" s="709"/>
      <c r="K220" s="709"/>
      <c r="L220" s="709"/>
    </row>
    <row r="221" spans="1:12" ht="15.75" thickBot="1" x14ac:dyDescent="0.3">
      <c r="A221" s="34"/>
      <c r="B221" s="1009"/>
      <c r="C221" s="1010"/>
      <c r="D221" s="340"/>
      <c r="E221" s="757"/>
      <c r="F221" s="1011"/>
      <c r="G221" s="709"/>
      <c r="H221" s="709"/>
      <c r="I221" s="709"/>
      <c r="J221" s="709"/>
      <c r="K221" s="709"/>
      <c r="L221" s="709"/>
    </row>
    <row r="222" spans="1:12" ht="15.75" thickBot="1" x14ac:dyDescent="0.3">
      <c r="A222" s="18" t="s">
        <v>287</v>
      </c>
      <c r="B222" s="19" t="s">
        <v>229</v>
      </c>
      <c r="C222" s="19" t="s">
        <v>232</v>
      </c>
      <c r="D222" s="19" t="s">
        <v>342</v>
      </c>
      <c r="E222" s="19" t="s">
        <v>231</v>
      </c>
      <c r="F222" s="195" t="s">
        <v>344</v>
      </c>
      <c r="G222" s="692"/>
      <c r="H222" s="692"/>
      <c r="I222" s="692"/>
      <c r="J222" s="692"/>
      <c r="K222" s="692"/>
      <c r="L222" s="692"/>
    </row>
    <row r="223" spans="1:12" ht="27.75" thickBot="1" x14ac:dyDescent="0.3">
      <c r="A223" s="6" t="s">
        <v>1550</v>
      </c>
      <c r="B223" s="6" t="s">
        <v>1964</v>
      </c>
      <c r="C223" s="506" t="s">
        <v>1965</v>
      </c>
      <c r="D223" s="35" t="s">
        <v>1061</v>
      </c>
      <c r="E223" s="35"/>
      <c r="F223" s="686" t="s">
        <v>1966</v>
      </c>
      <c r="G223" s="692"/>
      <c r="H223" s="692"/>
      <c r="I223" s="692"/>
      <c r="J223" s="692"/>
      <c r="K223" s="692"/>
      <c r="L223" s="692"/>
    </row>
    <row r="224" spans="1:12" ht="15.75" thickBot="1" x14ac:dyDescent="0.3">
      <c r="A224" s="151" t="s">
        <v>1967</v>
      </c>
      <c r="B224" s="156" t="s">
        <v>229</v>
      </c>
      <c r="C224" s="492"/>
      <c r="D224" s="3"/>
      <c r="E224" s="3"/>
      <c r="F224" s="222"/>
      <c r="G224" s="692"/>
      <c r="H224" s="692"/>
      <c r="I224" s="692"/>
      <c r="J224" s="692"/>
      <c r="K224" s="692"/>
      <c r="L224" s="692"/>
    </row>
    <row r="225" spans="1:10" x14ac:dyDescent="0.25">
      <c r="A225" s="38"/>
      <c r="B225" s="37"/>
      <c r="C225" s="501"/>
      <c r="D225" s="37"/>
      <c r="E225" s="37"/>
      <c r="F225" s="223"/>
      <c r="G225" s="692"/>
      <c r="H225" s="692"/>
      <c r="I225" s="692"/>
      <c r="J225" s="692"/>
    </row>
    <row r="226" spans="1:10" ht="15.75" thickBot="1" x14ac:dyDescent="0.3">
      <c r="A226" s="84"/>
      <c r="B226" s="680" t="s">
        <v>1968</v>
      </c>
      <c r="C226" s="684">
        <f>'Conversion factors'!B19</f>
        <v>56.9</v>
      </c>
      <c r="D226" s="85" t="s">
        <v>1969</v>
      </c>
      <c r="E226" s="86"/>
      <c r="F226" s="217" t="s">
        <v>1970</v>
      </c>
      <c r="G226" s="692"/>
      <c r="H226" s="692"/>
      <c r="I226" s="692"/>
      <c r="J226" s="692"/>
    </row>
    <row r="227" spans="1:10" ht="15.75" thickBot="1" x14ac:dyDescent="0.3">
      <c r="A227" s="84"/>
      <c r="B227" s="680" t="s">
        <v>1873</v>
      </c>
      <c r="C227" s="422">
        <f>IFERROR('Input Data'!#REF!,0)</f>
        <v>0</v>
      </c>
      <c r="D227" s="85" t="s">
        <v>667</v>
      </c>
      <c r="E227" s="86"/>
      <c r="F227" s="213"/>
      <c r="G227" s="692"/>
      <c r="H227" s="692"/>
      <c r="I227" s="692"/>
      <c r="J227" s="692"/>
    </row>
    <row r="228" spans="1:10" ht="15.75" thickBot="1" x14ac:dyDescent="0.3">
      <c r="A228" s="84"/>
      <c r="B228" s="189" t="s">
        <v>1971</v>
      </c>
      <c r="C228" s="684">
        <f>C226*C227</f>
        <v>0</v>
      </c>
      <c r="D228" s="85" t="s">
        <v>1575</v>
      </c>
      <c r="E228" s="86"/>
      <c r="F228" s="213"/>
      <c r="G228" s="692"/>
      <c r="H228" s="692"/>
      <c r="I228" s="692"/>
      <c r="J228" s="692"/>
    </row>
    <row r="229" spans="1:10" x14ac:dyDescent="0.25">
      <c r="A229" s="84"/>
      <c r="B229" s="680"/>
      <c r="C229" s="684"/>
      <c r="D229" s="85"/>
      <c r="E229" s="86"/>
      <c r="F229" s="213"/>
      <c r="G229" s="692"/>
      <c r="H229" s="692"/>
      <c r="I229" s="692"/>
      <c r="J229" s="692"/>
    </row>
    <row r="230" spans="1:10" ht="15.75" thickBot="1" x14ac:dyDescent="0.3">
      <c r="A230" s="84"/>
      <c r="B230" s="680" t="s">
        <v>1847</v>
      </c>
      <c r="C230" s="684">
        <f>'Conversion factors'!B21</f>
        <v>9.29767663519082</v>
      </c>
      <c r="D230" s="85" t="s">
        <v>1048</v>
      </c>
      <c r="E230" s="86"/>
      <c r="F230" s="217" t="s">
        <v>1972</v>
      </c>
      <c r="G230" s="692"/>
      <c r="H230" s="692"/>
      <c r="I230" s="692"/>
      <c r="J230" s="692"/>
    </row>
    <row r="231" spans="1:10" ht="15.75" thickBot="1" x14ac:dyDescent="0.3">
      <c r="A231" s="84"/>
      <c r="B231" s="680" t="s">
        <v>1973</v>
      </c>
      <c r="C231" s="422">
        <f>IFERROR('Input Data'!#REF!,0)</f>
        <v>0</v>
      </c>
      <c r="D231" s="85" t="s">
        <v>667</v>
      </c>
      <c r="E231" s="86"/>
      <c r="F231" s="217"/>
      <c r="G231" s="692"/>
      <c r="H231" s="692"/>
      <c r="I231" s="692"/>
      <c r="J231" s="692"/>
    </row>
    <row r="232" spans="1:10" ht="15.75" thickBot="1" x14ac:dyDescent="0.3">
      <c r="A232" s="84"/>
      <c r="B232" s="189" t="s">
        <v>1974</v>
      </c>
      <c r="C232" s="684">
        <f>C230*C231</f>
        <v>0</v>
      </c>
      <c r="D232" s="85" t="s">
        <v>1575</v>
      </c>
      <c r="E232" s="86"/>
      <c r="F232" s="217"/>
      <c r="G232" s="692"/>
      <c r="H232" s="692"/>
      <c r="I232" s="692"/>
      <c r="J232" s="692"/>
    </row>
    <row r="233" spans="1:10" x14ac:dyDescent="0.25">
      <c r="A233" s="84"/>
      <c r="B233" s="680"/>
      <c r="C233" s="684"/>
      <c r="D233" s="85"/>
      <c r="E233" s="86"/>
      <c r="F233" s="217"/>
      <c r="G233" s="692"/>
      <c r="H233" s="692"/>
      <c r="I233" s="692"/>
      <c r="J233" s="692"/>
    </row>
    <row r="234" spans="1:10" ht="15.75" thickBot="1" x14ac:dyDescent="0.3">
      <c r="A234" s="84"/>
      <c r="B234" s="680" t="s">
        <v>1853</v>
      </c>
      <c r="C234" s="684">
        <f>'Conversion factors'!B22</f>
        <v>6.9732574763931128</v>
      </c>
      <c r="D234" s="85" t="s">
        <v>1048</v>
      </c>
      <c r="E234" s="86"/>
      <c r="F234" s="217" t="s">
        <v>1975</v>
      </c>
      <c r="G234" s="692"/>
      <c r="H234" s="692"/>
      <c r="I234" s="692"/>
      <c r="J234" s="692"/>
    </row>
    <row r="235" spans="1:10" ht="15.75" thickBot="1" x14ac:dyDescent="0.3">
      <c r="A235" s="84"/>
      <c r="B235" s="680" t="s">
        <v>1976</v>
      </c>
      <c r="C235" s="422">
        <f>IFERROR('Input Data'!E119,0)</f>
        <v>0</v>
      </c>
      <c r="D235" s="85" t="s">
        <v>667</v>
      </c>
      <c r="E235" s="86"/>
      <c r="F235" s="217"/>
      <c r="G235" s="692"/>
      <c r="H235" s="692"/>
      <c r="I235" s="692"/>
      <c r="J235" s="692"/>
    </row>
    <row r="236" spans="1:10" ht="15.75" thickBot="1" x14ac:dyDescent="0.3">
      <c r="A236" s="84"/>
      <c r="B236" s="189" t="s">
        <v>1977</v>
      </c>
      <c r="C236" s="684">
        <f>C234*C235</f>
        <v>0</v>
      </c>
      <c r="D236" s="85" t="s">
        <v>1575</v>
      </c>
      <c r="E236" s="86"/>
      <c r="F236" s="217"/>
      <c r="G236" s="692"/>
      <c r="H236" s="692"/>
      <c r="I236" s="692"/>
      <c r="J236" s="692"/>
    </row>
    <row r="237" spans="1:10" x14ac:dyDescent="0.25">
      <c r="A237" s="84"/>
      <c r="B237" s="680"/>
      <c r="C237" s="684"/>
      <c r="D237" s="85"/>
      <c r="E237" s="86"/>
      <c r="F237" s="217"/>
      <c r="G237" s="692"/>
      <c r="H237" s="692"/>
      <c r="I237" s="692"/>
      <c r="J237" s="692"/>
    </row>
    <row r="238" spans="1:10" ht="15.75" thickBot="1" x14ac:dyDescent="0.3">
      <c r="A238" s="84"/>
      <c r="B238" s="680" t="s">
        <v>1978</v>
      </c>
      <c r="C238" s="177">
        <f>'Conversion factors'!B23</f>
        <v>0.12486198616271567</v>
      </c>
      <c r="D238" s="87" t="s">
        <v>1048</v>
      </c>
      <c r="E238" s="86"/>
      <c r="F238" s="217" t="s">
        <v>1979</v>
      </c>
      <c r="G238" s="692"/>
      <c r="H238" s="692"/>
      <c r="I238" s="692"/>
      <c r="J238" s="692"/>
    </row>
    <row r="239" spans="1:10" ht="15.75" thickBot="1" x14ac:dyDescent="0.3">
      <c r="A239" s="84"/>
      <c r="B239" s="680" t="s">
        <v>1860</v>
      </c>
      <c r="C239" s="422">
        <f>IFERROR('Input Data'!E121,0)</f>
        <v>0</v>
      </c>
      <c r="D239" s="85" t="s">
        <v>667</v>
      </c>
      <c r="E239" s="86"/>
      <c r="F239" s="217"/>
      <c r="G239" s="692"/>
      <c r="H239" s="692"/>
      <c r="I239" s="692"/>
      <c r="J239" s="692"/>
    </row>
    <row r="240" spans="1:10" ht="15.75" thickBot="1" x14ac:dyDescent="0.3">
      <c r="A240" s="84"/>
      <c r="B240" s="189" t="s">
        <v>1980</v>
      </c>
      <c r="C240" s="684">
        <f>C238*C239</f>
        <v>0</v>
      </c>
      <c r="D240" s="85" t="s">
        <v>1575</v>
      </c>
      <c r="E240" s="86"/>
      <c r="F240" s="217"/>
      <c r="G240" s="692"/>
      <c r="H240" s="692"/>
      <c r="I240" s="692"/>
      <c r="J240" s="692"/>
    </row>
    <row r="241" spans="1:6" x14ac:dyDescent="0.25">
      <c r="A241" s="84"/>
      <c r="B241" s="680"/>
      <c r="C241" s="684"/>
      <c r="D241" s="85"/>
      <c r="E241" s="86"/>
      <c r="F241" s="217"/>
    </row>
    <row r="242" spans="1:6" s="692" customFormat="1" x14ac:dyDescent="0.25">
      <c r="A242" s="84"/>
      <c r="B242" s="680" t="s">
        <v>1981</v>
      </c>
      <c r="C242" s="684">
        <f>'Conversion factors'!B24</f>
        <v>355.63613129604875</v>
      </c>
      <c r="D242" s="85" t="s">
        <v>1048</v>
      </c>
      <c r="E242" s="86"/>
      <c r="F242" s="217" t="s">
        <v>1982</v>
      </c>
    </row>
    <row r="243" spans="1:6" s="692" customFormat="1" ht="15.75" thickBot="1" x14ac:dyDescent="0.3">
      <c r="A243" s="84"/>
      <c r="B243" s="680" t="s">
        <v>1983</v>
      </c>
      <c r="C243" s="684">
        <f>('Input Data'!E89*'Input Data'!E90)+('Input Data'!E93*'Input Data'!E94)+('Input Data'!E95*'Input Data'!E96)</f>
        <v>0</v>
      </c>
      <c r="D243" s="85" t="s">
        <v>667</v>
      </c>
      <c r="E243" s="86"/>
      <c r="F243" s="217"/>
    </row>
    <row r="244" spans="1:6" s="692" customFormat="1" ht="15.75" thickBot="1" x14ac:dyDescent="0.3">
      <c r="A244" s="84"/>
      <c r="B244" s="189" t="s">
        <v>1984</v>
      </c>
      <c r="C244" s="684">
        <f>C242*C243</f>
        <v>0</v>
      </c>
      <c r="D244" s="85" t="s">
        <v>1575</v>
      </c>
      <c r="E244" s="86"/>
      <c r="F244" s="217"/>
    </row>
    <row r="245" spans="1:6" s="692" customFormat="1" x14ac:dyDescent="0.25">
      <c r="A245" s="84"/>
      <c r="B245" s="680"/>
      <c r="C245" s="684"/>
      <c r="D245" s="85"/>
      <c r="E245" s="86"/>
      <c r="F245" s="217"/>
    </row>
    <row r="246" spans="1:6" s="692" customFormat="1" x14ac:dyDescent="0.25">
      <c r="A246" s="84"/>
      <c r="B246" s="680" t="s">
        <v>1865</v>
      </c>
      <c r="C246" s="684">
        <f>'Conversion factors'!B25</f>
        <v>357.96055045484644</v>
      </c>
      <c r="D246" s="85" t="s">
        <v>1048</v>
      </c>
      <c r="E246" s="86"/>
      <c r="F246" s="217" t="s">
        <v>1982</v>
      </c>
    </row>
    <row r="247" spans="1:6" s="692" customFormat="1" ht="15.75" thickBot="1" x14ac:dyDescent="0.3">
      <c r="A247" s="84"/>
      <c r="B247" s="680" t="s">
        <v>1985</v>
      </c>
      <c r="C247" s="177">
        <f>'Input Data'!E91*'Input Data'!E92</f>
        <v>0</v>
      </c>
      <c r="D247" s="87" t="s">
        <v>667</v>
      </c>
      <c r="E247" s="86"/>
      <c r="F247" s="217"/>
    </row>
    <row r="248" spans="1:6" s="692" customFormat="1" ht="15.75" thickBot="1" x14ac:dyDescent="0.3">
      <c r="A248" s="84"/>
      <c r="B248" s="189" t="s">
        <v>1986</v>
      </c>
      <c r="C248" s="684">
        <f>C246*C247</f>
        <v>0</v>
      </c>
      <c r="D248" s="87" t="s">
        <v>1575</v>
      </c>
      <c r="E248" s="86"/>
      <c r="F248" s="217"/>
    </row>
    <row r="249" spans="1:6" s="692" customFormat="1" x14ac:dyDescent="0.25">
      <c r="A249" s="84"/>
      <c r="B249" s="680"/>
      <c r="C249" s="177"/>
      <c r="D249" s="87"/>
      <c r="E249" s="99"/>
      <c r="F249" s="217"/>
    </row>
    <row r="250" spans="1:6" s="692" customFormat="1" ht="27.75" thickBot="1" x14ac:dyDescent="0.3">
      <c r="A250" s="84"/>
      <c r="B250" s="682" t="s">
        <v>1987</v>
      </c>
      <c r="C250" s="684">
        <f>'Conversion factors'!B26</f>
        <v>0.64</v>
      </c>
      <c r="D250" s="87" t="s">
        <v>1048</v>
      </c>
      <c r="E250" s="99"/>
      <c r="F250" s="218" t="s">
        <v>1988</v>
      </c>
    </row>
    <row r="251" spans="1:6" s="692" customFormat="1" ht="15.75" thickBot="1" x14ac:dyDescent="0.3">
      <c r="A251" s="84"/>
      <c r="B251" s="189" t="s">
        <v>1989</v>
      </c>
      <c r="C251" s="684">
        <f>C250*(C227+C231+C235+C239+C243+C247)</f>
        <v>0</v>
      </c>
      <c r="D251" s="85" t="s">
        <v>1575</v>
      </c>
      <c r="E251" s="99"/>
      <c r="F251" s="217" t="s">
        <v>1990</v>
      </c>
    </row>
    <row r="252" spans="1:6" ht="15.75" thickBot="1" x14ac:dyDescent="0.3">
      <c r="A252" s="84"/>
      <c r="B252" s="680"/>
      <c r="C252" s="684"/>
      <c r="D252" s="85"/>
      <c r="E252" s="99"/>
      <c r="F252" s="217"/>
    </row>
    <row r="253" spans="1:6" ht="15.75" thickBot="1" x14ac:dyDescent="0.3">
      <c r="A253" s="84"/>
      <c r="B253" s="680" t="s">
        <v>603</v>
      </c>
      <c r="C253" s="422">
        <f>'Input Data'!E97</f>
        <v>0</v>
      </c>
      <c r="D253" s="682" t="s">
        <v>1991</v>
      </c>
      <c r="E253" s="85"/>
      <c r="F253" s="217"/>
    </row>
    <row r="254" spans="1:6" s="692" customFormat="1" ht="27" x14ac:dyDescent="0.25">
      <c r="A254" s="84"/>
      <c r="B254" s="680" t="s">
        <v>1992</v>
      </c>
      <c r="C254" s="177">
        <f>'Conversion factors'!B7</f>
        <v>31.45</v>
      </c>
      <c r="D254" s="85" t="s">
        <v>611</v>
      </c>
      <c r="E254" s="85"/>
      <c r="F254" s="218" t="s">
        <v>1882</v>
      </c>
    </row>
    <row r="255" spans="1:6" ht="15.75" thickBot="1" x14ac:dyDescent="0.3">
      <c r="A255" s="84"/>
      <c r="B255" s="680" t="s">
        <v>1993</v>
      </c>
      <c r="C255" s="408">
        <f>'Conversion factors'!B4</f>
        <v>1.1399999999999999</v>
      </c>
      <c r="D255" s="85"/>
      <c r="E255" s="86"/>
      <c r="F255" s="218" t="s">
        <v>1690</v>
      </c>
    </row>
    <row r="256" spans="1:6" ht="15.75" thickBot="1" x14ac:dyDescent="0.3">
      <c r="A256" s="84"/>
      <c r="B256" s="189" t="s">
        <v>1994</v>
      </c>
      <c r="C256" s="177">
        <f>C253*C254*C255</f>
        <v>0</v>
      </c>
      <c r="D256" s="85" t="s">
        <v>1575</v>
      </c>
      <c r="E256" s="86"/>
      <c r="F256" s="217"/>
    </row>
    <row r="257" spans="1:6" ht="15.75" thickBot="1" x14ac:dyDescent="0.3">
      <c r="A257" s="84"/>
      <c r="B257" s="680"/>
      <c r="C257" s="684"/>
      <c r="D257" s="85"/>
      <c r="E257" s="86"/>
      <c r="F257" s="217"/>
    </row>
    <row r="258" spans="1:6" ht="15.75" thickBot="1" x14ac:dyDescent="0.3">
      <c r="A258" s="84"/>
      <c r="B258" s="680" t="s">
        <v>607</v>
      </c>
      <c r="C258" s="422">
        <f>'Input Data'!E98</f>
        <v>0</v>
      </c>
      <c r="D258" s="682" t="s">
        <v>1991</v>
      </c>
      <c r="E258" s="106"/>
      <c r="F258" s="235" t="s">
        <v>1995</v>
      </c>
    </row>
    <row r="259" spans="1:6" ht="27.75" thickBot="1" x14ac:dyDescent="0.3">
      <c r="A259" s="84"/>
      <c r="B259" s="680" t="s">
        <v>1996</v>
      </c>
      <c r="C259" s="422">
        <f>'Input Data'!E99</f>
        <v>0</v>
      </c>
      <c r="D259" s="85" t="s">
        <v>611</v>
      </c>
      <c r="E259" s="86"/>
      <c r="F259" s="289" t="s">
        <v>612</v>
      </c>
    </row>
    <row r="260" spans="1:6" ht="15.75" thickBot="1" x14ac:dyDescent="0.3">
      <c r="A260" s="84"/>
      <c r="B260" s="680" t="s">
        <v>1696</v>
      </c>
      <c r="C260" s="177">
        <f>'Conversion factors'!B5</f>
        <v>1.1599999999999999</v>
      </c>
      <c r="D260" s="85"/>
      <c r="E260" s="86"/>
      <c r="F260" s="218" t="s">
        <v>1690</v>
      </c>
    </row>
    <row r="261" spans="1:6" ht="15.75" thickBot="1" x14ac:dyDescent="0.3">
      <c r="A261" s="84"/>
      <c r="B261" s="189" t="s">
        <v>1997</v>
      </c>
      <c r="C261" s="684">
        <f>C258*C259*C260</f>
        <v>0</v>
      </c>
      <c r="D261" s="85" t="s">
        <v>1575</v>
      </c>
      <c r="E261" s="86"/>
      <c r="F261" s="241"/>
    </row>
    <row r="262" spans="1:6" x14ac:dyDescent="0.25">
      <c r="A262" s="84"/>
      <c r="B262" s="680"/>
      <c r="C262" s="684"/>
      <c r="D262" s="85"/>
      <c r="E262" s="86"/>
      <c r="F262" s="241"/>
    </row>
    <row r="263" spans="1:6" x14ac:dyDescent="0.25">
      <c r="A263" s="84"/>
      <c r="B263" s="816" t="s">
        <v>629</v>
      </c>
      <c r="C263" s="802">
        <f>'Input Data'!E105</f>
        <v>0</v>
      </c>
      <c r="D263" s="792" t="s">
        <v>390</v>
      </c>
      <c r="E263" s="86"/>
      <c r="F263" s="241"/>
    </row>
    <row r="264" spans="1:6" x14ac:dyDescent="0.25">
      <c r="A264" s="84"/>
      <c r="B264" s="816" t="s">
        <v>631</v>
      </c>
      <c r="C264" s="802">
        <f>'Input Data'!E106</f>
        <v>0</v>
      </c>
      <c r="D264" s="792" t="s">
        <v>1890</v>
      </c>
      <c r="E264" s="86"/>
      <c r="F264" s="241"/>
    </row>
    <row r="265" spans="1:6" x14ac:dyDescent="0.25">
      <c r="A265" s="84"/>
      <c r="B265" s="816" t="s">
        <v>1892</v>
      </c>
      <c r="C265" s="802">
        <f>IFERROR(C263*C264, 0)</f>
        <v>0</v>
      </c>
      <c r="D265" s="792" t="s">
        <v>1575</v>
      </c>
      <c r="E265" s="86"/>
      <c r="F265" s="241"/>
    </row>
    <row r="266" spans="1:6" x14ac:dyDescent="0.25">
      <c r="A266" s="84"/>
      <c r="B266" s="816"/>
      <c r="C266" s="802"/>
      <c r="D266" s="792"/>
      <c r="E266" s="86"/>
      <c r="F266" s="241"/>
    </row>
    <row r="267" spans="1:6" x14ac:dyDescent="0.25">
      <c r="A267" s="84"/>
      <c r="B267" s="770" t="s">
        <v>1788</v>
      </c>
      <c r="C267" s="802"/>
      <c r="D267" s="792"/>
      <c r="E267" s="86"/>
      <c r="F267" s="241"/>
    </row>
    <row r="268" spans="1:6" x14ac:dyDescent="0.25">
      <c r="A268" s="84"/>
      <c r="B268" s="770"/>
      <c r="C268" s="802"/>
      <c r="D268" s="792"/>
      <c r="E268" s="86"/>
      <c r="F268" s="241"/>
    </row>
    <row r="269" spans="1:6" x14ac:dyDescent="0.25">
      <c r="A269" s="84"/>
      <c r="B269" s="771" t="s">
        <v>634</v>
      </c>
      <c r="C269" s="802">
        <f>'Input Data'!E108</f>
        <v>0</v>
      </c>
      <c r="D269" s="773" t="s">
        <v>371</v>
      </c>
      <c r="E269" s="86"/>
      <c r="F269" s="241"/>
    </row>
    <row r="270" spans="1:6" ht="40.5" x14ac:dyDescent="0.25">
      <c r="A270" s="84"/>
      <c r="B270" s="771" t="s">
        <v>636</v>
      </c>
      <c r="C270" s="802">
        <f>'Input Data'!E109</f>
        <v>0</v>
      </c>
      <c r="D270" s="773" t="s">
        <v>637</v>
      </c>
      <c r="E270" s="86"/>
      <c r="F270" s="241"/>
    </row>
    <row r="271" spans="1:6" x14ac:dyDescent="0.25">
      <c r="A271" s="84"/>
      <c r="B271" s="816" t="s">
        <v>1893</v>
      </c>
      <c r="C271" s="818">
        <f>'Conversion factors'!B69</f>
        <v>3.5000000000000003E-2</v>
      </c>
      <c r="D271" s="792" t="s">
        <v>1894</v>
      </c>
      <c r="E271" s="86"/>
      <c r="F271" s="241"/>
    </row>
    <row r="272" spans="1:6" ht="15.75" thickBot="1" x14ac:dyDescent="0.3">
      <c r="A272" s="84"/>
      <c r="B272" s="816" t="s">
        <v>1892</v>
      </c>
      <c r="C272" s="818">
        <f>IFERROR(C269*C270*C271*C264,0)</f>
        <v>0</v>
      </c>
      <c r="D272" s="792"/>
      <c r="E272" s="86"/>
      <c r="F272" s="213"/>
    </row>
    <row r="273" spans="1:6" ht="15.75" thickBot="1" x14ac:dyDescent="0.3">
      <c r="A273" s="84"/>
      <c r="B273" s="819" t="s">
        <v>1892</v>
      </c>
      <c r="C273" s="818">
        <f>IF(C263=0,C272, C265)</f>
        <v>0</v>
      </c>
      <c r="D273" s="792" t="s">
        <v>1575</v>
      </c>
      <c r="E273" s="86"/>
      <c r="F273" s="213"/>
    </row>
    <row r="274" spans="1:6" x14ac:dyDescent="0.25">
      <c r="A274" s="84"/>
      <c r="B274" s="681"/>
      <c r="C274" s="403"/>
      <c r="D274" s="39"/>
      <c r="E274" s="86"/>
      <c r="F274" s="213"/>
    </row>
    <row r="275" spans="1:6" ht="15.75" thickBot="1" x14ac:dyDescent="0.3">
      <c r="A275" s="84"/>
      <c r="B275" s="680" t="s">
        <v>1895</v>
      </c>
      <c r="C275" s="177">
        <f>'Conversion factors'!B3</f>
        <v>1.1200000000000001</v>
      </c>
      <c r="D275" s="85"/>
      <c r="E275" s="86"/>
      <c r="F275" s="218" t="s">
        <v>1690</v>
      </c>
    </row>
    <row r="276" spans="1:6" ht="15.75" thickBot="1" x14ac:dyDescent="0.3">
      <c r="A276" s="84"/>
      <c r="B276" s="189" t="s">
        <v>1998</v>
      </c>
      <c r="C276" s="684">
        <f>C273*C275</f>
        <v>0</v>
      </c>
      <c r="D276" s="85" t="s">
        <v>1575</v>
      </c>
      <c r="E276" s="86"/>
      <c r="F276" s="217"/>
    </row>
    <row r="277" spans="1:6" ht="15.75" thickBot="1" x14ac:dyDescent="0.3">
      <c r="A277" s="84"/>
      <c r="B277" s="680"/>
      <c r="C277" s="684"/>
      <c r="D277" s="85"/>
      <c r="E277" s="86"/>
      <c r="F277" s="217"/>
    </row>
    <row r="278" spans="1:6" ht="15.75" thickBot="1" x14ac:dyDescent="0.3">
      <c r="A278" s="84"/>
      <c r="B278" s="680" t="s">
        <v>617</v>
      </c>
      <c r="C278" s="385">
        <f>'Input Data'!E101</f>
        <v>0</v>
      </c>
      <c r="D278" s="682" t="s">
        <v>618</v>
      </c>
      <c r="E278" s="86"/>
      <c r="F278" s="217"/>
    </row>
    <row r="279" spans="1:6" ht="27.75" thickBot="1" x14ac:dyDescent="0.3">
      <c r="A279" s="84"/>
      <c r="B279" s="680" t="s">
        <v>678</v>
      </c>
      <c r="C279" s="385">
        <f>'Input Data'!E123</f>
        <v>0</v>
      </c>
      <c r="D279" s="682" t="s">
        <v>210</v>
      </c>
      <c r="E279" s="681"/>
      <c r="F279" s="199" t="s">
        <v>1680</v>
      </c>
    </row>
    <row r="280" spans="1:6" ht="15.75" thickBot="1" x14ac:dyDescent="0.3">
      <c r="A280" s="84"/>
      <c r="B280" s="189" t="s">
        <v>1900</v>
      </c>
      <c r="C280" s="684" t="e">
        <f>C278*1000*'Conversion factors'!B8/C279*100</f>
        <v>#DIV/0!</v>
      </c>
      <c r="D280" s="85" t="s">
        <v>1575</v>
      </c>
      <c r="E280" s="89"/>
      <c r="F280" s="213" t="s">
        <v>1682</v>
      </c>
    </row>
    <row r="281" spans="1:6" ht="15.75" thickBot="1" x14ac:dyDescent="0.3">
      <c r="A281" s="84"/>
      <c r="B281" s="680"/>
      <c r="C281" s="684"/>
      <c r="D281" s="85"/>
      <c r="E281" s="86"/>
      <c r="F281" s="235"/>
    </row>
    <row r="282" spans="1:6" ht="15.75" thickBot="1" x14ac:dyDescent="0.3">
      <c r="A282" s="84"/>
      <c r="B282" s="680" t="s">
        <v>625</v>
      </c>
      <c r="C282" s="385">
        <f>'Input Data'!E103</f>
        <v>0</v>
      </c>
      <c r="D282" s="682" t="s">
        <v>618</v>
      </c>
      <c r="E282" s="86"/>
      <c r="F282" s="235"/>
    </row>
    <row r="283" spans="1:6" ht="27.75" thickBot="1" x14ac:dyDescent="0.3">
      <c r="A283" s="84"/>
      <c r="B283" s="680" t="s">
        <v>678</v>
      </c>
      <c r="C283" s="385">
        <f>'Input Data'!E123</f>
        <v>0</v>
      </c>
      <c r="D283" s="682" t="s">
        <v>210</v>
      </c>
      <c r="E283" s="86"/>
      <c r="F283" s="199" t="s">
        <v>1680</v>
      </c>
    </row>
    <row r="284" spans="1:6" ht="15.75" thickBot="1" x14ac:dyDescent="0.3">
      <c r="A284" s="84"/>
      <c r="B284" s="189" t="s">
        <v>1999</v>
      </c>
      <c r="C284" s="684" t="e">
        <f>C282*1000*3.6/C283*100</f>
        <v>#DIV/0!</v>
      </c>
      <c r="D284" s="85" t="s">
        <v>1575</v>
      </c>
      <c r="E284" s="86"/>
      <c r="F284" s="235"/>
    </row>
    <row r="285" spans="1:6" ht="15.75" thickBot="1" x14ac:dyDescent="0.3">
      <c r="A285" s="84"/>
      <c r="B285" s="680"/>
      <c r="C285" s="684"/>
      <c r="D285" s="85"/>
      <c r="E285" s="86"/>
      <c r="F285" s="235"/>
    </row>
    <row r="286" spans="1:6" ht="15.75" thickBot="1" x14ac:dyDescent="0.3">
      <c r="A286" s="84"/>
      <c r="B286" s="699" t="s">
        <v>1768</v>
      </c>
      <c r="C286" s="824" t="e">
        <f>C228+C232+C236+C240+C244+C248+C251+SUM(C256,C261,C273, C276,C280,C284)</f>
        <v>#DIV/0!</v>
      </c>
      <c r="D286" s="85" t="s">
        <v>1575</v>
      </c>
      <c r="E286" s="86"/>
      <c r="F286" s="217"/>
    </row>
    <row r="287" spans="1:6" ht="15.75" thickBot="1" x14ac:dyDescent="0.3">
      <c r="A287" s="84"/>
      <c r="B287" s="68" t="s">
        <v>2000</v>
      </c>
      <c r="C287" s="698">
        <f>'Input Data'!E12</f>
        <v>0</v>
      </c>
      <c r="D287" s="88" t="s">
        <v>536</v>
      </c>
      <c r="E287" s="106"/>
      <c r="F287" s="242"/>
    </row>
    <row r="288" spans="1:6" ht="15.75" thickBot="1" x14ac:dyDescent="0.3">
      <c r="A288" s="84"/>
      <c r="B288" s="68"/>
      <c r="C288" s="161"/>
      <c r="D288" s="88"/>
      <c r="E288" s="106"/>
      <c r="F288" s="217"/>
    </row>
    <row r="289" spans="1:6" ht="15.75" thickBot="1" x14ac:dyDescent="0.3">
      <c r="A289" s="804" t="s">
        <v>2001</v>
      </c>
      <c r="B289" s="812" t="s">
        <v>2002</v>
      </c>
      <c r="C289" s="813" t="e">
        <f>C286/C287</f>
        <v>#DIV/0!</v>
      </c>
      <c r="D289" s="814" t="s">
        <v>1061</v>
      </c>
      <c r="E289" s="815" t="str">
        <f>IFERROR(IF(C289&lt;300,"COMPLIANT","NOT COMPLIANT"),"")</f>
        <v/>
      </c>
      <c r="F289" s="243"/>
    </row>
    <row r="292" spans="1:6" ht="15.75" x14ac:dyDescent="0.3">
      <c r="A292" s="4" t="s">
        <v>201</v>
      </c>
      <c r="B292" s="692"/>
      <c r="C292" s="692"/>
      <c r="D292" s="692"/>
      <c r="E292" s="692"/>
      <c r="F292" s="692"/>
    </row>
    <row r="293" spans="1:6" ht="15.75" x14ac:dyDescent="0.3">
      <c r="A293" s="4" t="s">
        <v>202</v>
      </c>
      <c r="B293" s="692"/>
      <c r="C293" s="692"/>
      <c r="D293" s="692"/>
      <c r="E293" s="692"/>
      <c r="F293" s="692"/>
    </row>
  </sheetData>
  <mergeCells count="2">
    <mergeCell ref="A78:A79"/>
    <mergeCell ref="B78:B79"/>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E44"/>
  <sheetViews>
    <sheetView showGridLines="0" workbookViewId="0"/>
  </sheetViews>
  <sheetFormatPr defaultColWidth="8.85546875" defaultRowHeight="15" x14ac:dyDescent="0.25"/>
  <cols>
    <col min="1" max="1" width="36.42578125" customWidth="1"/>
    <col min="2" max="2" width="43.85546875" customWidth="1"/>
  </cols>
  <sheetData>
    <row r="1" spans="1:5" s="308" customFormat="1" ht="57" customHeight="1" x14ac:dyDescent="0.25">
      <c r="A1" s="470" t="s">
        <v>1501</v>
      </c>
      <c r="B1" s="1450" t="s">
        <v>2003</v>
      </c>
      <c r="C1" s="1450"/>
      <c r="D1" s="1450"/>
      <c r="E1" s="1450"/>
    </row>
    <row r="43" spans="1:1" ht="15.75" x14ac:dyDescent="0.3">
      <c r="A43" s="4" t="s">
        <v>201</v>
      </c>
    </row>
    <row r="44" spans="1:1" ht="15.75" x14ac:dyDescent="0.3">
      <c r="A44" s="4" t="s">
        <v>202</v>
      </c>
    </row>
  </sheetData>
  <mergeCells count="1">
    <mergeCell ref="B1:E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G152"/>
  <sheetViews>
    <sheetView showGridLines="0" topLeftCell="A139" workbookViewId="0">
      <selection activeCell="D153" sqref="D153"/>
    </sheetView>
  </sheetViews>
  <sheetFormatPr defaultColWidth="8.85546875" defaultRowHeight="15" x14ac:dyDescent="0.25"/>
  <cols>
    <col min="1" max="1" width="45.28515625" customWidth="1"/>
    <col min="2" max="2" width="38.7109375" customWidth="1"/>
    <col min="3" max="3" width="11.7109375" style="21" customWidth="1"/>
    <col min="4" max="4" width="11.140625" customWidth="1"/>
    <col min="5" max="5" width="13.28515625" customWidth="1"/>
    <col min="6" max="6" width="56.85546875" customWidth="1"/>
  </cols>
  <sheetData>
    <row r="1" spans="1:6" ht="70.5" customHeight="1" thickBot="1" x14ac:dyDescent="0.3">
      <c r="A1" s="470" t="s">
        <v>2004</v>
      </c>
      <c r="B1" s="730" t="s">
        <v>2005</v>
      </c>
      <c r="D1" s="692"/>
      <c r="E1" s="692"/>
      <c r="F1" s="692"/>
    </row>
    <row r="2" spans="1:6" s="692" customFormat="1" ht="30.6" customHeight="1" thickBot="1" x14ac:dyDescent="0.3">
      <c r="A2" s="18" t="s">
        <v>242</v>
      </c>
      <c r="B2" s="19" t="s">
        <v>229</v>
      </c>
      <c r="C2" s="378" t="s">
        <v>232</v>
      </c>
      <c r="D2" s="19" t="s">
        <v>342</v>
      </c>
      <c r="E2" s="19" t="s">
        <v>1265</v>
      </c>
      <c r="F2" s="270" t="s">
        <v>344</v>
      </c>
    </row>
    <row r="3" spans="1:6" s="692" customFormat="1" ht="26.1" customHeight="1" thickBot="1" x14ac:dyDescent="0.3">
      <c r="A3" s="6" t="s">
        <v>2006</v>
      </c>
      <c r="B3" s="260" t="s">
        <v>2007</v>
      </c>
      <c r="C3" s="415" t="s">
        <v>399</v>
      </c>
      <c r="D3" s="126" t="s">
        <v>400</v>
      </c>
      <c r="E3" s="122"/>
      <c r="F3" s="354" t="s">
        <v>1396</v>
      </c>
    </row>
    <row r="4" spans="1:6" s="692" customFormat="1" ht="24.6" customHeight="1" thickBot="1" x14ac:dyDescent="0.3">
      <c r="A4" s="866" t="s">
        <v>2008</v>
      </c>
      <c r="B4" s="268" t="s">
        <v>229</v>
      </c>
      <c r="C4" s="386">
        <f>'Input Data'!$E$8</f>
        <v>0</v>
      </c>
      <c r="D4" s="3"/>
      <c r="E4" s="3"/>
      <c r="F4" s="272"/>
    </row>
    <row r="5" spans="1:6" s="692" customFormat="1" ht="35.1" customHeight="1" thickBot="1" x14ac:dyDescent="0.35">
      <c r="A5" s="267"/>
      <c r="B5" s="1120" t="s">
        <v>2009</v>
      </c>
      <c r="C5" s="416" t="str">
        <f>'Input Data'!E239</f>
        <v>Yes</v>
      </c>
      <c r="D5" s="3"/>
      <c r="E5" s="3"/>
      <c r="F5" s="272"/>
    </row>
    <row r="6" spans="1:6" ht="27.75" thickBot="1" x14ac:dyDescent="0.35">
      <c r="A6" s="267"/>
      <c r="B6" s="1120" t="s">
        <v>437</v>
      </c>
      <c r="C6" s="416" t="str">
        <f>'Input Data'!E240</f>
        <v>Yes</v>
      </c>
      <c r="D6" s="3"/>
      <c r="E6" s="3"/>
      <c r="F6" s="272"/>
    </row>
    <row r="7" spans="1:6" ht="41.25" thickBot="1" x14ac:dyDescent="0.3">
      <c r="A7" s="871" t="s">
        <v>2010</v>
      </c>
      <c r="B7" s="274" t="s">
        <v>2011</v>
      </c>
      <c r="C7" s="416" t="str">
        <f>IF(AND(C5="Yes", C6="Yes"), "Yes", "No")</f>
        <v>Yes</v>
      </c>
      <c r="D7" s="128"/>
      <c r="E7" s="428" t="str">
        <f>IF(C7="Yes","COMPLIANT","NOT COMPLIANT")</f>
        <v>COMPLIANT</v>
      </c>
      <c r="F7" s="273"/>
    </row>
    <row r="8" spans="1:6" s="709" customFormat="1" ht="15.75" thickBot="1" x14ac:dyDescent="0.3">
      <c r="A8" s="261"/>
      <c r="B8" s="878"/>
      <c r="C8" s="876"/>
      <c r="D8" s="34"/>
      <c r="E8" s="33"/>
      <c r="F8" s="884"/>
    </row>
    <row r="9" spans="1:6" s="709" customFormat="1" x14ac:dyDescent="0.25">
      <c r="A9" s="893" t="s">
        <v>242</v>
      </c>
      <c r="B9" s="894" t="s">
        <v>229</v>
      </c>
      <c r="C9" s="895" t="s">
        <v>232</v>
      </c>
      <c r="D9" s="894" t="s">
        <v>342</v>
      </c>
      <c r="E9" s="894" t="s">
        <v>1265</v>
      </c>
      <c r="F9" s="896" t="s">
        <v>344</v>
      </c>
    </row>
    <row r="10" spans="1:6" s="709" customFormat="1" ht="68.25" thickBot="1" x14ac:dyDescent="0.3">
      <c r="A10" s="36" t="s">
        <v>256</v>
      </c>
      <c r="B10" s="260" t="s">
        <v>2012</v>
      </c>
      <c r="C10" s="1115" t="s">
        <v>399</v>
      </c>
      <c r="D10" s="122" t="s">
        <v>400</v>
      </c>
      <c r="E10" s="122" t="str">
        <f>IF(C12="Yes","COMPLIANT","NOT COMPLIANT")</f>
        <v>COMPLIANT</v>
      </c>
      <c r="F10" s="354" t="s">
        <v>1396</v>
      </c>
    </row>
    <row r="11" spans="1:6" s="709" customFormat="1" ht="15.75" thickBot="1" x14ac:dyDescent="0.3">
      <c r="A11" s="866" t="s">
        <v>2013</v>
      </c>
      <c r="B11" s="1116" t="s">
        <v>229</v>
      </c>
      <c r="C11" s="386">
        <f>'Input Data'!$E$8</f>
        <v>0</v>
      </c>
      <c r="D11" s="1121"/>
      <c r="E11" s="1121"/>
      <c r="F11" s="870"/>
    </row>
    <row r="12" spans="1:6" ht="27.75" thickBot="1" x14ac:dyDescent="0.3">
      <c r="A12" s="871" t="s">
        <v>2014</v>
      </c>
      <c r="B12" s="1117" t="s">
        <v>2012</v>
      </c>
      <c r="C12" s="416" t="str">
        <f>'Input Data'!E241</f>
        <v>Yes</v>
      </c>
      <c r="D12" s="132"/>
      <c r="E12" s="132" t="str">
        <f>E10</f>
        <v>COMPLIANT</v>
      </c>
      <c r="F12" s="874"/>
    </row>
    <row r="13" spans="1:6" s="709" customFormat="1" ht="15.75" thickBot="1" x14ac:dyDescent="0.3">
      <c r="A13" s="261"/>
      <c r="B13" s="885"/>
      <c r="C13" s="876"/>
      <c r="D13" s="261"/>
      <c r="E13" s="261"/>
      <c r="F13" s="879"/>
    </row>
    <row r="14" spans="1:6" s="709" customFormat="1" ht="15.75" thickBot="1" x14ac:dyDescent="0.3">
      <c r="A14" s="860" t="s">
        <v>242</v>
      </c>
      <c r="B14" s="19" t="s">
        <v>229</v>
      </c>
      <c r="C14" s="378" t="s">
        <v>232</v>
      </c>
      <c r="D14" s="19" t="s">
        <v>342</v>
      </c>
      <c r="E14" s="19" t="s">
        <v>1265</v>
      </c>
      <c r="F14" s="270" t="s">
        <v>344</v>
      </c>
    </row>
    <row r="15" spans="1:6" s="709" customFormat="1" ht="41.25" thickBot="1" x14ac:dyDescent="0.3">
      <c r="A15" s="6" t="s">
        <v>256</v>
      </c>
      <c r="B15" s="260" t="s">
        <v>246</v>
      </c>
      <c r="C15" s="417" t="s">
        <v>399</v>
      </c>
      <c r="D15" s="126" t="s">
        <v>400</v>
      </c>
      <c r="E15" s="122" t="str">
        <f>IF(C19="Yes","COMPLIANT","NOT COMPLIANT")</f>
        <v>COMPLIANT</v>
      </c>
      <c r="F15" s="354" t="s">
        <v>2015</v>
      </c>
    </row>
    <row r="16" spans="1:6" s="709" customFormat="1" ht="15.75" thickBot="1" x14ac:dyDescent="0.3">
      <c r="A16" s="866" t="s">
        <v>2016</v>
      </c>
      <c r="B16" s="268" t="s">
        <v>229</v>
      </c>
      <c r="C16" s="386">
        <f>'Input Data'!$E$8</f>
        <v>0</v>
      </c>
      <c r="D16" s="3"/>
      <c r="E16" s="3"/>
      <c r="F16" s="272"/>
    </row>
    <row r="17" spans="1:6" s="709" customFormat="1" ht="27.75" thickBot="1" x14ac:dyDescent="0.3">
      <c r="A17" s="1423"/>
      <c r="B17" s="65" t="s">
        <v>445</v>
      </c>
      <c r="C17" s="689" t="str">
        <f>'Input Data'!E242</f>
        <v>Yes</v>
      </c>
      <c r="D17" s="66"/>
      <c r="E17" s="1423"/>
      <c r="F17" s="1423"/>
    </row>
    <row r="18" spans="1:6" s="709" customFormat="1" ht="27.75" thickBot="1" x14ac:dyDescent="0.3">
      <c r="A18" s="1423"/>
      <c r="B18" s="65" t="s">
        <v>2017</v>
      </c>
      <c r="C18" s="689" t="str">
        <f>'Input Data'!E243</f>
        <v>Yes</v>
      </c>
      <c r="D18" s="66"/>
      <c r="E18" s="1423"/>
      <c r="F18" s="1423"/>
    </row>
    <row r="19" spans="1:6" s="709" customFormat="1" ht="27.75" thickBot="1" x14ac:dyDescent="0.3">
      <c r="A19" s="871" t="s">
        <v>2018</v>
      </c>
      <c r="B19" s="274" t="s">
        <v>246</v>
      </c>
      <c r="C19" s="1239" t="str">
        <f>IF(AND(C17="Yes", C18="Yes"), "Yes", "No")</f>
        <v>Yes</v>
      </c>
      <c r="D19" s="128"/>
      <c r="E19" s="128" t="str">
        <f>E15</f>
        <v>COMPLIANT</v>
      </c>
      <c r="F19" s="273"/>
    </row>
    <row r="20" spans="1:6" s="709" customFormat="1" ht="15.75" thickBot="1" x14ac:dyDescent="0.3">
      <c r="A20" s="692"/>
      <c r="B20" s="692"/>
      <c r="C20" s="21"/>
      <c r="D20" s="692"/>
      <c r="E20" s="692"/>
      <c r="F20" s="692"/>
    </row>
    <row r="21" spans="1:6" s="709" customFormat="1" ht="15.75" thickBot="1" x14ac:dyDescent="0.3">
      <c r="A21" s="860" t="s">
        <v>242</v>
      </c>
      <c r="B21" s="19" t="s">
        <v>229</v>
      </c>
      <c r="C21" s="19" t="s">
        <v>232</v>
      </c>
      <c r="D21" s="19" t="s">
        <v>342</v>
      </c>
      <c r="E21" s="19" t="s">
        <v>1265</v>
      </c>
      <c r="F21" s="270" t="s">
        <v>344</v>
      </c>
    </row>
    <row r="22" spans="1:6" s="709" customFormat="1" ht="27.75" thickBot="1" x14ac:dyDescent="0.3">
      <c r="A22" s="6" t="s">
        <v>256</v>
      </c>
      <c r="B22" s="36" t="s">
        <v>2019</v>
      </c>
      <c r="C22" s="764" t="s">
        <v>399</v>
      </c>
      <c r="D22" s="1423" t="s">
        <v>400</v>
      </c>
      <c r="E22" s="35" t="str">
        <f>IF(C24="Yes","COMPLIANT","NOT COMPLIANT")</f>
        <v>COMPLIANT</v>
      </c>
      <c r="F22" s="271" t="s">
        <v>2020</v>
      </c>
    </row>
    <row r="23" spans="1:6" s="709" customFormat="1" ht="15.75" thickBot="1" x14ac:dyDescent="0.3">
      <c r="A23" s="991" t="s">
        <v>2021</v>
      </c>
      <c r="B23" s="268" t="s">
        <v>229</v>
      </c>
      <c r="C23" s="763">
        <f>'Input Data'!$E$8</f>
        <v>0</v>
      </c>
      <c r="D23" s="3"/>
      <c r="E23" s="3"/>
      <c r="F23" s="272"/>
    </row>
    <row r="24" spans="1:6" s="709" customFormat="1" ht="15.75" thickBot="1" x14ac:dyDescent="0.3">
      <c r="A24" s="871" t="s">
        <v>247</v>
      </c>
      <c r="B24" s="274" t="s">
        <v>2022</v>
      </c>
      <c r="C24" s="766" t="str">
        <f>'Input Data'!$E$244</f>
        <v>Yes</v>
      </c>
      <c r="D24" s="128"/>
      <c r="E24" s="128" t="str">
        <f>E22</f>
        <v>COMPLIANT</v>
      </c>
      <c r="F24" s="273"/>
    </row>
    <row r="25" spans="1:6" s="709" customFormat="1" ht="15.75" thickBot="1" x14ac:dyDescent="0.3">
      <c r="A25" s="261"/>
      <c r="B25" s="878"/>
      <c r="C25" s="876"/>
      <c r="D25" s="261"/>
      <c r="E25" s="261"/>
      <c r="F25" s="879"/>
    </row>
    <row r="26" spans="1:6" s="709" customFormat="1" ht="15.75" thickBot="1" x14ac:dyDescent="0.3">
      <c r="A26" s="860" t="s">
        <v>242</v>
      </c>
      <c r="B26" s="19" t="s">
        <v>229</v>
      </c>
      <c r="C26" s="19" t="s">
        <v>232</v>
      </c>
      <c r="D26" s="19" t="s">
        <v>342</v>
      </c>
      <c r="E26" s="19" t="s">
        <v>1265</v>
      </c>
      <c r="F26" s="238" t="s">
        <v>344</v>
      </c>
    </row>
    <row r="27" spans="1:6" s="709" customFormat="1" ht="108.75" thickBot="1" x14ac:dyDescent="0.3">
      <c r="A27" s="6" t="s">
        <v>256</v>
      </c>
      <c r="B27" s="286" t="s">
        <v>2023</v>
      </c>
      <c r="C27" s="355" t="s">
        <v>2024</v>
      </c>
      <c r="D27" s="1420" t="s">
        <v>210</v>
      </c>
      <c r="E27" s="35" t="str">
        <f>IF(C29&gt;90,"COMPLIANT","NOT COMPLIANT")</f>
        <v>NOT COMPLIANT</v>
      </c>
      <c r="F27" s="762" t="s">
        <v>2025</v>
      </c>
    </row>
    <row r="28" spans="1:6" s="709" customFormat="1" ht="15.75" thickBot="1" x14ac:dyDescent="0.3">
      <c r="A28" s="991" t="s">
        <v>2026</v>
      </c>
      <c r="B28" s="42" t="s">
        <v>229</v>
      </c>
      <c r="C28" s="386">
        <f>'Input Data'!$E$8</f>
        <v>0</v>
      </c>
      <c r="D28" s="3"/>
      <c r="E28" s="3"/>
      <c r="F28" s="272"/>
    </row>
    <row r="29" spans="1:6" s="709" customFormat="1" ht="15.75" thickBot="1" x14ac:dyDescent="0.3">
      <c r="A29" s="871" t="s">
        <v>249</v>
      </c>
      <c r="B29" s="360" t="s">
        <v>2023</v>
      </c>
      <c r="C29" s="393">
        <f>'Input Data'!$E$245</f>
        <v>0</v>
      </c>
      <c r="D29" s="361" t="s">
        <v>210</v>
      </c>
      <c r="E29" s="128" t="str">
        <f>E27</f>
        <v>NOT COMPLIANT</v>
      </c>
      <c r="F29" s="273"/>
    </row>
    <row r="30" spans="1:6" s="709" customFormat="1" ht="15.75" thickBot="1" x14ac:dyDescent="0.3">
      <c r="A30" s="692"/>
      <c r="B30" s="692"/>
      <c r="C30" s="568"/>
      <c r="D30" s="692"/>
      <c r="E30" s="692"/>
      <c r="F30" s="692"/>
    </row>
    <row r="31" spans="1:6" s="709" customFormat="1" ht="15.75" thickBot="1" x14ac:dyDescent="0.3">
      <c r="A31" s="860" t="s">
        <v>242</v>
      </c>
      <c r="B31" s="19" t="s">
        <v>229</v>
      </c>
      <c r="C31" s="378" t="s">
        <v>232</v>
      </c>
      <c r="D31" s="19" t="s">
        <v>342</v>
      </c>
      <c r="E31" s="19" t="s">
        <v>1265</v>
      </c>
      <c r="F31" s="270" t="s">
        <v>344</v>
      </c>
    </row>
    <row r="32" spans="1:6" ht="29.45" customHeight="1" thickBot="1" x14ac:dyDescent="0.3">
      <c r="A32" s="6" t="s">
        <v>256</v>
      </c>
      <c r="B32" s="260" t="s">
        <v>252</v>
      </c>
      <c r="C32" s="417" t="s">
        <v>399</v>
      </c>
      <c r="D32" s="126" t="s">
        <v>400</v>
      </c>
      <c r="E32" s="122" t="str">
        <f>IF(C34="Yes","COMPLIANT","NOT COMPLIANT")</f>
        <v>COMPLIANT</v>
      </c>
      <c r="F32" s="354" t="s">
        <v>2027</v>
      </c>
    </row>
    <row r="33" spans="1:7" ht="15.75" thickBot="1" x14ac:dyDescent="0.3">
      <c r="A33" s="866" t="s">
        <v>2028</v>
      </c>
      <c r="B33" s="268" t="s">
        <v>229</v>
      </c>
      <c r="C33" s="386">
        <f>'Input Data'!$E$8</f>
        <v>0</v>
      </c>
      <c r="D33" s="3"/>
      <c r="E33" s="3"/>
      <c r="F33" s="272"/>
      <c r="G33" s="692"/>
    </row>
    <row r="34" spans="1:7" ht="27.75" thickBot="1" x14ac:dyDescent="0.3">
      <c r="A34" s="871" t="s">
        <v>2029</v>
      </c>
      <c r="B34" s="274" t="s">
        <v>2030</v>
      </c>
      <c r="C34" s="416" t="str">
        <f>'Input Data'!$E$246</f>
        <v>Yes</v>
      </c>
      <c r="D34" s="128"/>
      <c r="E34" s="128" t="str">
        <f>E32</f>
        <v>COMPLIANT</v>
      </c>
      <c r="F34" s="273"/>
      <c r="G34" s="692"/>
    </row>
    <row r="35" spans="1:7" ht="15.75" thickBot="1" x14ac:dyDescent="0.3">
      <c r="A35" s="692"/>
      <c r="B35" s="692"/>
      <c r="C35" s="568"/>
      <c r="D35" s="692"/>
      <c r="E35" s="692"/>
      <c r="F35" s="692"/>
      <c r="G35" s="692"/>
    </row>
    <row r="36" spans="1:7" ht="15.75" thickBot="1" x14ac:dyDescent="0.3">
      <c r="A36" s="860" t="s">
        <v>242</v>
      </c>
      <c r="B36" s="19" t="s">
        <v>229</v>
      </c>
      <c r="C36" s="378" t="s">
        <v>232</v>
      </c>
      <c r="D36" s="19" t="s">
        <v>342</v>
      </c>
      <c r="E36" s="19" t="s">
        <v>1265</v>
      </c>
      <c r="F36" s="238" t="s">
        <v>344</v>
      </c>
      <c r="G36" s="692"/>
    </row>
    <row r="37" spans="1:7" ht="54.75" thickBot="1" x14ac:dyDescent="0.3">
      <c r="A37" s="6" t="s">
        <v>256</v>
      </c>
      <c r="B37" s="286" t="s">
        <v>254</v>
      </c>
      <c r="C37" s="420" t="s">
        <v>2031</v>
      </c>
      <c r="D37" s="1420" t="s">
        <v>2032</v>
      </c>
      <c r="E37" s="35" t="str">
        <f>E43</f>
        <v/>
      </c>
      <c r="F37" s="353" t="s">
        <v>2033</v>
      </c>
      <c r="G37" s="692"/>
    </row>
    <row r="38" spans="1:7" ht="15.75" thickBot="1" x14ac:dyDescent="0.3">
      <c r="A38" s="991" t="s">
        <v>2034</v>
      </c>
      <c r="B38" s="42" t="s">
        <v>229</v>
      </c>
      <c r="C38" s="386">
        <f>'Input Data'!$E$8</f>
        <v>0</v>
      </c>
      <c r="D38" s="3"/>
      <c r="E38" s="3"/>
      <c r="F38" s="272"/>
      <c r="G38" s="692"/>
    </row>
    <row r="39" spans="1:7" s="692" customFormat="1" ht="15.75" thickBot="1" x14ac:dyDescent="0.3">
      <c r="A39" s="1423"/>
      <c r="B39" s="1423"/>
      <c r="C39" s="1423"/>
      <c r="D39" s="1423"/>
      <c r="E39" s="1423"/>
      <c r="F39" s="1423"/>
    </row>
    <row r="40" spans="1:7" ht="15.75" thickBot="1" x14ac:dyDescent="0.3">
      <c r="A40" s="1423"/>
      <c r="B40" s="66" t="s">
        <v>459</v>
      </c>
      <c r="C40" s="116">
        <f>'Input Data'!E247</f>
        <v>0</v>
      </c>
      <c r="D40" s="66" t="s">
        <v>2035</v>
      </c>
      <c r="E40" s="1423"/>
      <c r="F40" s="1423"/>
      <c r="G40" s="692"/>
    </row>
    <row r="41" spans="1:7" ht="15.75" thickBot="1" x14ac:dyDescent="0.3">
      <c r="A41" s="1423"/>
      <c r="B41" s="66" t="s">
        <v>2036</v>
      </c>
      <c r="C41" s="689">
        <f>'Input Data'!E249+'Input Data'!E250</f>
        <v>0</v>
      </c>
      <c r="D41" s="66" t="s">
        <v>462</v>
      </c>
      <c r="E41" s="1423"/>
      <c r="F41" s="1423"/>
      <c r="G41" s="692"/>
    </row>
    <row r="42" spans="1:7" ht="15.75" thickBot="1" x14ac:dyDescent="0.3">
      <c r="A42" s="1423"/>
      <c r="B42" s="1423"/>
      <c r="C42" s="1423"/>
      <c r="D42" s="1423"/>
      <c r="E42" s="1423"/>
      <c r="F42" s="1423"/>
      <c r="G42" s="692"/>
    </row>
    <row r="43" spans="1:7" ht="15.75" thickBot="1" x14ac:dyDescent="0.3">
      <c r="A43" s="871" t="s">
        <v>253</v>
      </c>
      <c r="B43" s="360" t="s">
        <v>254</v>
      </c>
      <c r="C43" s="393" t="e">
        <f>C40/C41*1000000</f>
        <v>#DIV/0!</v>
      </c>
      <c r="D43" s="361"/>
      <c r="E43" s="128" t="str">
        <f>IF(C40=0,"",IF(C43&lt;15,"COMPLIANT","NOT COMPLIANT"))</f>
        <v/>
      </c>
      <c r="F43" s="273"/>
      <c r="G43" s="692"/>
    </row>
    <row r="44" spans="1:7" s="709" customFormat="1" ht="15.75" thickBot="1" x14ac:dyDescent="0.3">
      <c r="A44" s="261"/>
      <c r="B44" s="32"/>
      <c r="C44" s="994"/>
      <c r="D44" s="34"/>
      <c r="E44" s="34"/>
      <c r="F44" s="1034"/>
      <c r="G44" s="14"/>
    </row>
    <row r="45" spans="1:7" s="709" customFormat="1" ht="15.75" thickBot="1" x14ac:dyDescent="0.3">
      <c r="A45" s="860" t="s">
        <v>255</v>
      </c>
      <c r="B45" s="19" t="s">
        <v>229</v>
      </c>
      <c r="C45" s="378" t="s">
        <v>232</v>
      </c>
      <c r="D45" s="19" t="s">
        <v>342</v>
      </c>
      <c r="E45" s="19" t="s">
        <v>1265</v>
      </c>
      <c r="F45" s="238" t="s">
        <v>344</v>
      </c>
      <c r="G45" s="14"/>
    </row>
    <row r="46" spans="1:7" s="709" customFormat="1" ht="68.25" thickBot="1" x14ac:dyDescent="0.3">
      <c r="A46" s="6" t="s">
        <v>2037</v>
      </c>
      <c r="B46" s="286" t="s">
        <v>970</v>
      </c>
      <c r="C46" s="420">
        <v>100</v>
      </c>
      <c r="D46" s="1420" t="s">
        <v>210</v>
      </c>
      <c r="E46" s="35"/>
      <c r="F46" s="353" t="s">
        <v>2038</v>
      </c>
      <c r="G46" s="14"/>
    </row>
    <row r="47" spans="1:7" s="709" customFormat="1" ht="15.75" thickBot="1" x14ac:dyDescent="0.3">
      <c r="A47" s="991" t="s">
        <v>2039</v>
      </c>
      <c r="B47" s="42" t="s">
        <v>229</v>
      </c>
      <c r="C47" s="386">
        <f>'Input Data'!$E$8</f>
        <v>0</v>
      </c>
      <c r="D47" s="3"/>
      <c r="E47" s="3"/>
      <c r="F47" s="272"/>
      <c r="G47" s="14"/>
    </row>
    <row r="48" spans="1:7" s="709" customFormat="1" ht="15.75" thickBot="1" x14ac:dyDescent="0.3">
      <c r="A48" s="871" t="s">
        <v>2040</v>
      </c>
      <c r="B48" s="360" t="s">
        <v>970</v>
      </c>
      <c r="C48" s="393">
        <f>'Input Data'!$E$251</f>
        <v>0</v>
      </c>
      <c r="D48" s="361" t="s">
        <v>210</v>
      </c>
      <c r="E48" s="428" t="str">
        <f>IF(C48=100,"COMPLIANT","NOT COMPLIANT")</f>
        <v>NOT COMPLIANT</v>
      </c>
      <c r="F48" s="273"/>
      <c r="G48" s="14"/>
    </row>
    <row r="49" spans="1:7" s="709" customFormat="1" ht="15.75" thickBot="1" x14ac:dyDescent="0.3">
      <c r="A49" s="261"/>
      <c r="B49" s="32"/>
      <c r="C49" s="994"/>
      <c r="D49" s="34"/>
      <c r="E49" s="34"/>
      <c r="F49" s="34"/>
      <c r="G49" s="14"/>
    </row>
    <row r="50" spans="1:7" s="709" customFormat="1" ht="15.75" thickBot="1" x14ac:dyDescent="0.3">
      <c r="A50" s="860" t="s">
        <v>255</v>
      </c>
      <c r="B50" s="19" t="s">
        <v>229</v>
      </c>
      <c r="C50" s="378" t="s">
        <v>232</v>
      </c>
      <c r="D50" s="19" t="s">
        <v>342</v>
      </c>
      <c r="E50" s="19" t="s">
        <v>1265</v>
      </c>
      <c r="F50" s="238" t="s">
        <v>344</v>
      </c>
      <c r="G50" s="14"/>
    </row>
    <row r="51" spans="1:7" s="709" customFormat="1" ht="41.25" thickBot="1" x14ac:dyDescent="0.3">
      <c r="A51" s="6" t="s">
        <v>2037</v>
      </c>
      <c r="B51" s="6" t="s">
        <v>2041</v>
      </c>
      <c r="C51" s="605" t="s">
        <v>2042</v>
      </c>
      <c r="D51" s="1422" t="s">
        <v>462</v>
      </c>
      <c r="E51" s="265" t="str">
        <f>IF(C54&gt;5, IF(AND(C55="Yes",C57&lt;=60, C56 &lt;12),"COMPLIANT","NOT COMPLIANT"),"")</f>
        <v/>
      </c>
      <c r="F51" s="286" t="s">
        <v>2043</v>
      </c>
      <c r="G51" s="14"/>
    </row>
    <row r="52" spans="1:7" s="709" customFormat="1" ht="15.75" thickBot="1" x14ac:dyDescent="0.3">
      <c r="A52" s="991" t="s">
        <v>2044</v>
      </c>
      <c r="B52" s="42" t="s">
        <v>229</v>
      </c>
      <c r="C52" s="386">
        <f>'Input Data'!$E$8</f>
        <v>0</v>
      </c>
      <c r="D52" s="3"/>
      <c r="E52" s="3"/>
      <c r="F52" s="272"/>
      <c r="G52" s="14"/>
    </row>
    <row r="53" spans="1:7" s="709" customFormat="1" ht="15.75" thickBot="1" x14ac:dyDescent="0.3">
      <c r="A53" s="38"/>
      <c r="B53" s="98"/>
      <c r="C53" s="98"/>
      <c r="D53" s="37"/>
      <c r="E53" s="37"/>
      <c r="F53" s="311"/>
      <c r="G53" s="14"/>
    </row>
    <row r="54" spans="1:7" s="709" customFormat="1" ht="15.75" thickBot="1" x14ac:dyDescent="0.3">
      <c r="A54" s="38"/>
      <c r="B54" s="98" t="s">
        <v>351</v>
      </c>
      <c r="C54" s="341">
        <f>'Input Data'!E7</f>
        <v>0</v>
      </c>
      <c r="D54" s="37"/>
      <c r="E54" s="37"/>
      <c r="F54" s="1234"/>
      <c r="G54" s="14"/>
    </row>
    <row r="55" spans="1:7" s="709" customFormat="1" ht="15.75" thickBot="1" x14ac:dyDescent="0.3">
      <c r="A55" s="38"/>
      <c r="B55" s="98" t="s">
        <v>479</v>
      </c>
      <c r="C55" s="341" t="str">
        <f>'Input Data'!E254</f>
        <v>Yes</v>
      </c>
      <c r="D55" s="37"/>
      <c r="E55" s="37"/>
      <c r="F55" s="88" t="s">
        <v>477</v>
      </c>
      <c r="G55" s="14"/>
    </row>
    <row r="56" spans="1:7" s="709" customFormat="1" ht="15.75" thickBot="1" x14ac:dyDescent="0.3">
      <c r="A56" s="38"/>
      <c r="B56" s="98" t="s">
        <v>481</v>
      </c>
      <c r="C56" s="341">
        <f>'Input Data'!E255</f>
        <v>0</v>
      </c>
      <c r="D56" s="683" t="s">
        <v>462</v>
      </c>
      <c r="E56" s="37"/>
      <c r="F56" s="88"/>
      <c r="G56" s="14"/>
    </row>
    <row r="57" spans="1:7" s="709" customFormat="1" ht="27.75" thickBot="1" x14ac:dyDescent="0.3">
      <c r="A57" s="38"/>
      <c r="B57" s="98" t="s">
        <v>483</v>
      </c>
      <c r="C57" s="341">
        <f>'Input Data'!E256</f>
        <v>0</v>
      </c>
      <c r="D57" s="683" t="s">
        <v>462</v>
      </c>
      <c r="E57" s="38"/>
      <c r="F57" s="88" t="s">
        <v>484</v>
      </c>
    </row>
    <row r="58" spans="1:7" s="709" customFormat="1" ht="15.75" thickBot="1" x14ac:dyDescent="0.3">
      <c r="A58" s="38"/>
      <c r="B58" s="126"/>
      <c r="C58" s="389"/>
      <c r="D58" s="37"/>
      <c r="E58" s="37"/>
      <c r="F58" s="311"/>
    </row>
    <row r="59" spans="1:7" s="709" customFormat="1" ht="15.75" thickBot="1" x14ac:dyDescent="0.3">
      <c r="A59" s="871" t="s">
        <v>321</v>
      </c>
      <c r="B59" s="360" t="s">
        <v>2041</v>
      </c>
      <c r="C59" s="1146">
        <f>C57</f>
        <v>0</v>
      </c>
      <c r="D59" s="361"/>
      <c r="E59" s="128" t="str">
        <f>E51</f>
        <v/>
      </c>
      <c r="F59" s="273"/>
    </row>
    <row r="60" spans="1:7" ht="15.75" thickBot="1" x14ac:dyDescent="0.3">
      <c r="A60" s="261"/>
      <c r="B60" s="32"/>
      <c r="C60" s="994"/>
      <c r="D60" s="34"/>
      <c r="E60" s="34"/>
      <c r="F60" s="34"/>
      <c r="G60" s="692"/>
    </row>
    <row r="61" spans="1:7" ht="15.75" thickBot="1" x14ac:dyDescent="0.3">
      <c r="A61" s="860" t="s">
        <v>255</v>
      </c>
      <c r="B61" s="19" t="s">
        <v>229</v>
      </c>
      <c r="C61" s="378" t="s">
        <v>232</v>
      </c>
      <c r="D61" s="19" t="s">
        <v>342</v>
      </c>
      <c r="E61" s="19" t="s">
        <v>1265</v>
      </c>
      <c r="F61" s="238" t="s">
        <v>344</v>
      </c>
      <c r="G61" s="692"/>
    </row>
    <row r="62" spans="1:7" ht="41.25" thickBot="1" x14ac:dyDescent="0.3">
      <c r="A62" s="6" t="s">
        <v>2037</v>
      </c>
      <c r="B62" s="6" t="s">
        <v>2045</v>
      </c>
      <c r="C62" s="420">
        <v>25</v>
      </c>
      <c r="D62" s="1420" t="s">
        <v>257</v>
      </c>
      <c r="E62" s="265"/>
      <c r="F62" s="286" t="s">
        <v>2046</v>
      </c>
      <c r="G62" s="692"/>
    </row>
    <row r="63" spans="1:7" ht="15.75" thickBot="1" x14ac:dyDescent="0.3">
      <c r="A63" s="991" t="s">
        <v>2047</v>
      </c>
      <c r="B63" s="42" t="s">
        <v>229</v>
      </c>
      <c r="C63" s="386">
        <f>'Input Data'!$E$8</f>
        <v>0</v>
      </c>
      <c r="D63" s="3"/>
      <c r="E63" s="3"/>
      <c r="F63" s="272"/>
      <c r="G63" s="692"/>
    </row>
    <row r="64" spans="1:7" ht="27.75" thickBot="1" x14ac:dyDescent="0.3">
      <c r="A64" s="871" t="s">
        <v>322</v>
      </c>
      <c r="B64" s="130" t="s">
        <v>2045</v>
      </c>
      <c r="C64" s="341">
        <f>'Input Data'!$E$257</f>
        <v>0</v>
      </c>
      <c r="D64" s="360" t="s">
        <v>257</v>
      </c>
      <c r="E64" s="128" t="str">
        <f>IF(C64&gt;=C62,"COMPLIANT","NOT COMPLIANT")</f>
        <v>NOT COMPLIANT</v>
      </c>
      <c r="F64" s="273"/>
      <c r="G64" s="692"/>
    </row>
    <row r="65" spans="1:7" ht="15.75" thickBot="1" x14ac:dyDescent="0.3">
      <c r="A65" s="261"/>
      <c r="B65" s="32"/>
      <c r="C65" s="994"/>
      <c r="D65" s="34"/>
      <c r="E65" s="34"/>
      <c r="F65" s="34"/>
      <c r="G65" s="692"/>
    </row>
    <row r="66" spans="1:7" ht="15.75" thickBot="1" x14ac:dyDescent="0.3">
      <c r="A66" s="860" t="s">
        <v>255</v>
      </c>
      <c r="B66" s="19" t="s">
        <v>229</v>
      </c>
      <c r="C66" s="378" t="s">
        <v>232</v>
      </c>
      <c r="D66" s="19" t="s">
        <v>342</v>
      </c>
      <c r="E66" s="19" t="s">
        <v>1265</v>
      </c>
      <c r="F66" s="238" t="s">
        <v>344</v>
      </c>
      <c r="G66" s="692"/>
    </row>
    <row r="67" spans="1:7" ht="41.25" thickBot="1" x14ac:dyDescent="0.3">
      <c r="A67" s="6" t="s">
        <v>2037</v>
      </c>
      <c r="B67" s="286" t="s">
        <v>2048</v>
      </c>
      <c r="C67" s="420" t="s">
        <v>2049</v>
      </c>
      <c r="D67" s="1422" t="s">
        <v>2050</v>
      </c>
      <c r="E67" s="265"/>
      <c r="F67" s="353" t="s">
        <v>2051</v>
      </c>
      <c r="G67" s="692"/>
    </row>
    <row r="68" spans="1:7" ht="15.75" thickBot="1" x14ac:dyDescent="0.3">
      <c r="A68" s="991" t="s">
        <v>2052</v>
      </c>
      <c r="B68" s="42" t="s">
        <v>229</v>
      </c>
      <c r="C68" s="386">
        <f>'Input Data'!$E$8</f>
        <v>0</v>
      </c>
      <c r="D68" s="3"/>
      <c r="E68" s="3"/>
      <c r="F68" s="272"/>
      <c r="G68" s="692"/>
    </row>
    <row r="69" spans="1:7" ht="15.75" thickBot="1" x14ac:dyDescent="0.3">
      <c r="A69" s="38"/>
      <c r="B69" s="126"/>
      <c r="C69" s="389"/>
      <c r="D69" s="37"/>
      <c r="E69" s="37"/>
      <c r="F69" s="311"/>
      <c r="G69" s="692"/>
    </row>
    <row r="70" spans="1:7" ht="27.75" thickBot="1" x14ac:dyDescent="0.3">
      <c r="A70" s="38"/>
      <c r="B70" s="6" t="s">
        <v>491</v>
      </c>
      <c r="C70" s="416">
        <f>'Input Data'!$E$259</f>
        <v>0</v>
      </c>
      <c r="D70" s="679">
        <f>'Input Data'!E10</f>
        <v>0</v>
      </c>
      <c r="E70" s="37"/>
      <c r="F70" s="311"/>
      <c r="G70" s="692"/>
    </row>
    <row r="71" spans="1:7" ht="15.75" thickBot="1" x14ac:dyDescent="0.3">
      <c r="A71" s="38"/>
      <c r="B71" s="679" t="s">
        <v>493</v>
      </c>
      <c r="C71" s="416">
        <f>'Input Data'!$E$260</f>
        <v>0</v>
      </c>
      <c r="D71" s="679">
        <f>D70</f>
        <v>0</v>
      </c>
      <c r="E71" s="37"/>
      <c r="F71" s="311"/>
      <c r="G71" s="692"/>
    </row>
    <row r="72" spans="1:7" ht="15.75" thickBot="1" x14ac:dyDescent="0.3">
      <c r="A72" s="38"/>
      <c r="B72" s="126"/>
      <c r="C72" s="389"/>
      <c r="D72" s="37"/>
      <c r="E72" s="37"/>
      <c r="F72" s="311"/>
      <c r="G72" s="692"/>
    </row>
    <row r="73" spans="1:7" ht="27.75" thickBot="1" x14ac:dyDescent="0.3">
      <c r="A73" s="1035" t="s">
        <v>2053</v>
      </c>
      <c r="B73" s="357" t="s">
        <v>2054</v>
      </c>
      <c r="C73" s="421">
        <f>IF((C71=0), 0,C70/C71)</f>
        <v>0</v>
      </c>
      <c r="D73" s="358"/>
      <c r="E73" s="281" t="str">
        <f>IF(C73&gt;=1,"COMPLIANT","NOT COMPLIANT")</f>
        <v>NOT COMPLIANT</v>
      </c>
      <c r="F73" s="359"/>
      <c r="G73" s="692"/>
    </row>
    <row r="74" spans="1:7" ht="15.75" thickBot="1" x14ac:dyDescent="0.3">
      <c r="A74" s="261"/>
      <c r="B74" s="32"/>
      <c r="C74" s="994"/>
      <c r="D74" s="34"/>
      <c r="E74" s="34"/>
      <c r="F74" s="34"/>
      <c r="G74" s="692"/>
    </row>
    <row r="75" spans="1:7" ht="15.75" thickBot="1" x14ac:dyDescent="0.3">
      <c r="A75" s="181" t="s">
        <v>255</v>
      </c>
      <c r="B75" s="19" t="s">
        <v>229</v>
      </c>
      <c r="C75" s="378" t="s">
        <v>232</v>
      </c>
      <c r="D75" s="19" t="s">
        <v>342</v>
      </c>
      <c r="E75" s="19" t="s">
        <v>1265</v>
      </c>
      <c r="F75" s="238" t="s">
        <v>344</v>
      </c>
      <c r="G75" s="692"/>
    </row>
    <row r="76" spans="1:7" ht="41.25" thickBot="1" x14ac:dyDescent="0.3">
      <c r="A76" s="6" t="s">
        <v>2037</v>
      </c>
      <c r="B76" s="286" t="s">
        <v>2055</v>
      </c>
      <c r="C76" s="420" t="s">
        <v>2049</v>
      </c>
      <c r="D76" s="1422" t="s">
        <v>2050</v>
      </c>
      <c r="E76" s="265" t="str">
        <f>E82</f>
        <v>NOT COMPLIANT</v>
      </c>
      <c r="F76" s="353" t="s">
        <v>2051</v>
      </c>
      <c r="G76" s="692"/>
    </row>
    <row r="77" spans="1:7" ht="15.75" thickBot="1" x14ac:dyDescent="0.3">
      <c r="A77" s="1209" t="s">
        <v>2056</v>
      </c>
      <c r="B77" s="42" t="s">
        <v>229</v>
      </c>
      <c r="C77" s="386">
        <f>'Input Data'!$E$8</f>
        <v>0</v>
      </c>
      <c r="D77" s="3"/>
      <c r="E77" s="3"/>
      <c r="F77" s="272"/>
      <c r="G77" s="692"/>
    </row>
    <row r="78" spans="1:7" ht="15.75" thickBot="1" x14ac:dyDescent="0.3">
      <c r="A78" s="38"/>
      <c r="B78" s="126"/>
      <c r="C78" s="389"/>
      <c r="D78" s="37"/>
      <c r="E78" s="37"/>
      <c r="F78" s="311"/>
      <c r="G78" s="692"/>
    </row>
    <row r="79" spans="1:7" s="692" customFormat="1" ht="15.75" thickBot="1" x14ac:dyDescent="0.3">
      <c r="A79" s="38"/>
      <c r="B79" s="679" t="s">
        <v>496</v>
      </c>
      <c r="C79" s="416">
        <f>'Input Data'!$E$262</f>
        <v>0</v>
      </c>
      <c r="D79" s="679">
        <f>D80</f>
        <v>0</v>
      </c>
      <c r="E79" s="37"/>
      <c r="F79" s="311"/>
    </row>
    <row r="80" spans="1:7" ht="15.75" thickBot="1" x14ac:dyDescent="0.3">
      <c r="A80" s="38"/>
      <c r="B80" s="47" t="s">
        <v>2057</v>
      </c>
      <c r="C80" s="416">
        <f>'Input Data'!$E$260</f>
        <v>0</v>
      </c>
      <c r="D80" s="679">
        <f>'Input Data'!$E$10</f>
        <v>0</v>
      </c>
      <c r="E80" s="37"/>
      <c r="F80" s="311"/>
      <c r="G80" s="692"/>
    </row>
    <row r="81" spans="1:6" ht="15.75" thickBot="1" x14ac:dyDescent="0.3">
      <c r="A81" s="38"/>
      <c r="B81" s="126"/>
      <c r="C81" s="389"/>
      <c r="D81" s="37"/>
      <c r="E81" s="37"/>
      <c r="F81" s="311"/>
    </row>
    <row r="82" spans="1:6" ht="27.75" thickBot="1" x14ac:dyDescent="0.3">
      <c r="A82" s="1208" t="s">
        <v>324</v>
      </c>
      <c r="B82" s="274" t="s">
        <v>2055</v>
      </c>
      <c r="C82" s="416">
        <f>IFERROR((C79/C80),0)</f>
        <v>0</v>
      </c>
      <c r="D82" s="128"/>
      <c r="E82" s="128" t="str">
        <f>IF(C82&gt;=1,"COMPLIANT","NOT COMPLIANT")</f>
        <v>NOT COMPLIANT</v>
      </c>
      <c r="F82" s="273"/>
    </row>
    <row r="83" spans="1:6" ht="16.5" thickBot="1" x14ac:dyDescent="0.35">
      <c r="A83" s="244"/>
      <c r="B83" s="692"/>
      <c r="C83" s="567"/>
      <c r="D83" s="247"/>
      <c r="E83" s="188"/>
      <c r="F83" s="245"/>
    </row>
    <row r="84" spans="1:6" ht="15.75" thickBot="1" x14ac:dyDescent="0.3">
      <c r="A84" s="181" t="s">
        <v>255</v>
      </c>
      <c r="B84" s="19" t="s">
        <v>229</v>
      </c>
      <c r="C84" s="378" t="s">
        <v>232</v>
      </c>
      <c r="D84" s="19" t="s">
        <v>342</v>
      </c>
      <c r="E84" s="19" t="s">
        <v>1265</v>
      </c>
      <c r="F84" s="238" t="s">
        <v>344</v>
      </c>
    </row>
    <row r="85" spans="1:6" s="692" customFormat="1" ht="95.25" thickBot="1" x14ac:dyDescent="0.3">
      <c r="A85" s="6" t="s">
        <v>2037</v>
      </c>
      <c r="B85" s="286" t="s">
        <v>2058</v>
      </c>
      <c r="C85" s="1205" t="s">
        <v>2059</v>
      </c>
      <c r="D85" s="1422" t="s">
        <v>210</v>
      </c>
      <c r="E85" s="265" t="str">
        <f>E95</f>
        <v/>
      </c>
      <c r="F85" s="353" t="s">
        <v>2051</v>
      </c>
    </row>
    <row r="86" spans="1:6" s="692" customFormat="1" ht="15.75" thickBot="1" x14ac:dyDescent="0.3">
      <c r="A86" s="1209" t="s">
        <v>2060</v>
      </c>
      <c r="B86" s="42" t="s">
        <v>229</v>
      </c>
      <c r="C86" s="386"/>
      <c r="D86" s="3"/>
      <c r="E86" s="3"/>
      <c r="F86" s="272"/>
    </row>
    <row r="87" spans="1:6" ht="15.75" thickBot="1" x14ac:dyDescent="0.3">
      <c r="A87" s="38"/>
      <c r="B87" s="39" t="s">
        <v>351</v>
      </c>
      <c r="C87" s="416">
        <f>'Input Data'!$E$7</f>
        <v>0</v>
      </c>
      <c r="D87" s="37"/>
      <c r="E87" s="37"/>
      <c r="F87" s="311"/>
    </row>
    <row r="88" spans="1:6" s="692" customFormat="1" ht="15.75" thickBot="1" x14ac:dyDescent="0.3">
      <c r="A88" s="38"/>
      <c r="B88" s="39" t="s">
        <v>2061</v>
      </c>
      <c r="C88" s="416">
        <f>'Input Data'!E259</f>
        <v>0</v>
      </c>
      <c r="D88" s="679">
        <f>'Input Data'!$E$10</f>
        <v>0</v>
      </c>
      <c r="E88" s="37"/>
      <c r="F88" s="311"/>
    </row>
    <row r="89" spans="1:6" s="692" customFormat="1" ht="27.75" thickBot="1" x14ac:dyDescent="0.3">
      <c r="A89" s="38"/>
      <c r="B89" s="1144" t="s">
        <v>499</v>
      </c>
      <c r="C89" s="416">
        <f>'Input Data'!E263</f>
        <v>0</v>
      </c>
      <c r="D89" s="679">
        <f>'Input Data'!$E$10</f>
        <v>0</v>
      </c>
      <c r="E89" s="37"/>
      <c r="F89" s="311"/>
    </row>
    <row r="90" spans="1:6" s="692" customFormat="1" ht="15.75" thickBot="1" x14ac:dyDescent="0.3">
      <c r="A90" s="38"/>
      <c r="B90" s="47" t="s">
        <v>501</v>
      </c>
      <c r="C90" s="416">
        <f>'Input Data'!$E$264</f>
        <v>0</v>
      </c>
      <c r="D90" s="679">
        <f>'Input Data'!$E$10</f>
        <v>0</v>
      </c>
      <c r="E90" s="37"/>
      <c r="F90" s="311"/>
    </row>
    <row r="91" spans="1:6" s="692" customFormat="1" ht="15.75" thickBot="1" x14ac:dyDescent="0.3">
      <c r="A91" s="38"/>
      <c r="B91" s="6" t="s">
        <v>2062</v>
      </c>
      <c r="C91" s="416">
        <f>C90-C89</f>
        <v>0</v>
      </c>
      <c r="D91" s="679">
        <f>D90</f>
        <v>0</v>
      </c>
      <c r="E91" s="37"/>
      <c r="F91" s="311"/>
    </row>
    <row r="92" spans="1:6" ht="15.75" thickBot="1" x14ac:dyDescent="0.3">
      <c r="A92" s="38"/>
      <c r="B92" s="6" t="s">
        <v>2063</v>
      </c>
      <c r="C92" s="416">
        <f>C90-C88</f>
        <v>0</v>
      </c>
      <c r="D92" s="679">
        <f>D91</f>
        <v>0</v>
      </c>
      <c r="E92" s="37"/>
      <c r="F92" s="311"/>
    </row>
    <row r="93" spans="1:6" x14ac:dyDescent="0.25">
      <c r="A93" s="38"/>
      <c r="B93" s="6" t="s">
        <v>2064</v>
      </c>
      <c r="C93" s="1206" t="e">
        <f>-(C92-C91)/C91*100</f>
        <v>#DIV/0!</v>
      </c>
      <c r="D93" s="679" t="s">
        <v>210</v>
      </c>
      <c r="E93" s="37"/>
      <c r="F93" s="311"/>
    </row>
    <row r="94" spans="1:6" ht="15.75" thickBot="1" x14ac:dyDescent="0.3">
      <c r="A94" s="38"/>
      <c r="B94" s="39" t="s">
        <v>2065</v>
      </c>
      <c r="C94" s="1249">
        <f>IF(C87&lt;=1, 0, QUOTIENT(C87+1,3))</f>
        <v>0</v>
      </c>
      <c r="D94" s="679" t="s">
        <v>2066</v>
      </c>
      <c r="E94" s="37"/>
      <c r="F94" s="311"/>
    </row>
    <row r="95" spans="1:6" ht="15.75" thickBot="1" x14ac:dyDescent="0.3">
      <c r="A95" s="1208" t="s">
        <v>325</v>
      </c>
      <c r="B95" s="274" t="s">
        <v>2058</v>
      </c>
      <c r="C95" s="1207" t="e">
        <f>C93</f>
        <v>#DIV/0!</v>
      </c>
      <c r="D95" s="128" t="s">
        <v>210</v>
      </c>
      <c r="E95" s="128" t="str">
        <f>IF(C94=0,"",IF(OR(AND(C94=1,C93&gt;=5),AND(C94=2,C93&gt;=10),AND(C94=3,C93&gt;=20),AND(C94=4,C93&gt;=30),AND(C94=5,C93&gt;=40), AND(C94=6,C93&gt;=50), AND(C94=7,C93&gt;=60)),"COMPLIANT","NOT COMPLIANT"))</f>
        <v/>
      </c>
      <c r="F95" s="273"/>
    </row>
    <row r="96" spans="1:6" ht="15.75" thickBot="1" x14ac:dyDescent="0.3">
      <c r="A96" s="261"/>
      <c r="B96" s="32"/>
      <c r="C96" s="994"/>
      <c r="D96" s="34"/>
      <c r="E96" s="34"/>
      <c r="F96" s="34"/>
    </row>
    <row r="97" spans="1:6" ht="15.75" thickBot="1" x14ac:dyDescent="0.3">
      <c r="A97" s="860" t="s">
        <v>260</v>
      </c>
      <c r="B97" s="19" t="s">
        <v>229</v>
      </c>
      <c r="C97" s="378" t="s">
        <v>232</v>
      </c>
      <c r="D97" s="19" t="s">
        <v>342</v>
      </c>
      <c r="E97" s="19" t="s">
        <v>1265</v>
      </c>
      <c r="F97" s="270" t="s">
        <v>344</v>
      </c>
    </row>
    <row r="98" spans="1:6" ht="27.75" thickBot="1" x14ac:dyDescent="0.3">
      <c r="A98" s="6" t="s">
        <v>2067</v>
      </c>
      <c r="B98" s="260" t="s">
        <v>259</v>
      </c>
      <c r="C98" s="415" t="s">
        <v>399</v>
      </c>
      <c r="D98" s="126" t="s">
        <v>400</v>
      </c>
      <c r="E98" s="122"/>
      <c r="F98" s="354" t="s">
        <v>1283</v>
      </c>
    </row>
    <row r="99" spans="1:6" ht="15.75" thickBot="1" x14ac:dyDescent="0.3">
      <c r="A99" s="866" t="s">
        <v>2068</v>
      </c>
      <c r="B99" s="268" t="s">
        <v>229</v>
      </c>
      <c r="C99" s="386">
        <f>'Input Data'!$E$8</f>
        <v>0</v>
      </c>
      <c r="D99" s="3"/>
      <c r="E99" s="3"/>
      <c r="F99" s="272"/>
    </row>
    <row r="100" spans="1:6" ht="15.75" thickBot="1" x14ac:dyDescent="0.3">
      <c r="A100" s="871" t="s">
        <v>258</v>
      </c>
      <c r="B100" s="274" t="s">
        <v>259</v>
      </c>
      <c r="C100" s="416" t="str">
        <f>'Input Data'!$E$265</f>
        <v>Yes</v>
      </c>
      <c r="D100" s="128"/>
      <c r="E100" s="428" t="str">
        <f>IF(C100="Yes","COMPLIANT","NOT COMPLIANT")</f>
        <v>COMPLIANT</v>
      </c>
      <c r="F100" s="273"/>
    </row>
    <row r="101" spans="1:6" ht="15.75" thickBot="1" x14ac:dyDescent="0.3">
      <c r="A101" s="261"/>
      <c r="B101" s="32"/>
      <c r="C101" s="994"/>
      <c r="D101" s="34"/>
      <c r="E101" s="34"/>
      <c r="F101" s="34"/>
    </row>
    <row r="102" spans="1:6" ht="15.75" thickBot="1" x14ac:dyDescent="0.3">
      <c r="A102" s="860" t="s">
        <v>260</v>
      </c>
      <c r="B102" s="19" t="s">
        <v>229</v>
      </c>
      <c r="C102" s="19" t="s">
        <v>232</v>
      </c>
      <c r="D102" s="19" t="s">
        <v>342</v>
      </c>
      <c r="E102" s="19" t="s">
        <v>1265</v>
      </c>
      <c r="F102" s="270" t="s">
        <v>344</v>
      </c>
    </row>
    <row r="103" spans="1:6" ht="27.75" thickBot="1" x14ac:dyDescent="0.3">
      <c r="A103" s="6" t="s">
        <v>2067</v>
      </c>
      <c r="B103" s="36" t="s">
        <v>262</v>
      </c>
      <c r="C103" s="764" t="s">
        <v>399</v>
      </c>
      <c r="D103" s="1423" t="s">
        <v>400</v>
      </c>
      <c r="E103" s="35" t="str">
        <f>IF(C105="Yes","COMPLIANT","NOT COMPLIANT")</f>
        <v>COMPLIANT</v>
      </c>
      <c r="F103" s="271" t="s">
        <v>1283</v>
      </c>
    </row>
    <row r="104" spans="1:6" ht="15.75" thickBot="1" x14ac:dyDescent="0.3">
      <c r="A104" s="991" t="s">
        <v>2069</v>
      </c>
      <c r="B104" s="268" t="s">
        <v>229</v>
      </c>
      <c r="C104" s="763">
        <f>'[1]Input Data'!$E$7</f>
        <v>43556</v>
      </c>
      <c r="D104" s="3"/>
      <c r="E104" s="3"/>
      <c r="F104" s="272"/>
    </row>
    <row r="105" spans="1:6" ht="15.75" thickBot="1" x14ac:dyDescent="0.3">
      <c r="A105" s="871" t="s">
        <v>261</v>
      </c>
      <c r="B105" s="274" t="s">
        <v>262</v>
      </c>
      <c r="C105" s="766" t="str">
        <f>'Input Data'!$E$266</f>
        <v>Yes</v>
      </c>
      <c r="D105" s="128"/>
      <c r="E105" s="128" t="str">
        <f>E103</f>
        <v>COMPLIANT</v>
      </c>
      <c r="F105" s="273"/>
    </row>
    <row r="106" spans="1:6" ht="15.75" thickBot="1" x14ac:dyDescent="0.3">
      <c r="A106" s="261"/>
      <c r="B106" s="32"/>
      <c r="C106" s="994"/>
      <c r="D106" s="34"/>
      <c r="E106" s="34"/>
      <c r="F106" s="34"/>
    </row>
    <row r="107" spans="1:6" ht="15.75" thickBot="1" x14ac:dyDescent="0.3">
      <c r="A107" s="860" t="s">
        <v>260</v>
      </c>
      <c r="B107" s="19" t="s">
        <v>229</v>
      </c>
      <c r="C107" s="19" t="s">
        <v>232</v>
      </c>
      <c r="D107" s="19" t="s">
        <v>342</v>
      </c>
      <c r="E107" s="19" t="s">
        <v>1265</v>
      </c>
      <c r="F107" s="270" t="s">
        <v>344</v>
      </c>
    </row>
    <row r="108" spans="1:6" ht="27.75" thickBot="1" x14ac:dyDescent="0.3">
      <c r="A108" s="6" t="s">
        <v>2067</v>
      </c>
      <c r="B108" s="36" t="s">
        <v>2070</v>
      </c>
      <c r="C108" s="764" t="s">
        <v>399</v>
      </c>
      <c r="D108" s="1423" t="s">
        <v>400</v>
      </c>
      <c r="E108" s="35" t="str">
        <f>IF(C110="Yes","COMPLIANT","NOT COMPLIANT")</f>
        <v>COMPLIANT</v>
      </c>
      <c r="F108" s="271" t="s">
        <v>2071</v>
      </c>
    </row>
    <row r="109" spans="1:6" ht="15.75" thickBot="1" x14ac:dyDescent="0.3">
      <c r="A109" s="991" t="s">
        <v>2072</v>
      </c>
      <c r="B109" s="268" t="s">
        <v>229</v>
      </c>
      <c r="C109" s="763">
        <f>'[1]Input Data'!$E$7</f>
        <v>43556</v>
      </c>
      <c r="D109" s="3"/>
      <c r="E109" s="3"/>
      <c r="F109" s="272"/>
    </row>
    <row r="110" spans="1:6" ht="27.75" thickBot="1" x14ac:dyDescent="0.3">
      <c r="A110" s="871" t="s">
        <v>263</v>
      </c>
      <c r="B110" s="274" t="s">
        <v>2070</v>
      </c>
      <c r="C110" s="766" t="str">
        <f>'Input Data'!$E$267</f>
        <v>Yes</v>
      </c>
      <c r="D110" s="128"/>
      <c r="E110" s="128" t="str">
        <f>E108</f>
        <v>COMPLIANT</v>
      </c>
      <c r="F110" s="273"/>
    </row>
    <row r="111" spans="1:6" ht="15.75" thickBot="1" x14ac:dyDescent="0.3">
      <c r="A111" s="261"/>
      <c r="B111" s="32"/>
      <c r="C111" s="994"/>
      <c r="D111" s="34"/>
      <c r="E111" s="34"/>
      <c r="F111" s="34"/>
    </row>
    <row r="112" spans="1:6" ht="15.75" thickBot="1" x14ac:dyDescent="0.3">
      <c r="A112" s="860" t="s">
        <v>260</v>
      </c>
      <c r="B112" s="19" t="s">
        <v>229</v>
      </c>
      <c r="C112" s="19" t="s">
        <v>232</v>
      </c>
      <c r="D112" s="19" t="s">
        <v>342</v>
      </c>
      <c r="E112" s="19" t="s">
        <v>1265</v>
      </c>
      <c r="F112" s="238" t="s">
        <v>344</v>
      </c>
    </row>
    <row r="113" spans="1:6" ht="15.75" thickBot="1" x14ac:dyDescent="0.3">
      <c r="A113" s="6" t="s">
        <v>2067</v>
      </c>
      <c r="B113" s="286" t="s">
        <v>2073</v>
      </c>
      <c r="C113" s="355" t="s">
        <v>2074</v>
      </c>
      <c r="D113" s="1422" t="s">
        <v>2075</v>
      </c>
      <c r="E113" s="265" t="str">
        <f>IF(OR(C119&gt;=18, AND(C119&lt;18,C119&gt;=16, C116 = "Yes")),"COMPLIANT","NON COMPLIANT")</f>
        <v>NON COMPLIANT</v>
      </c>
      <c r="F113" s="762"/>
    </row>
    <row r="114" spans="1:6" ht="15.75" thickBot="1" x14ac:dyDescent="0.3">
      <c r="A114" s="991" t="s">
        <v>2076</v>
      </c>
      <c r="B114" s="765" t="s">
        <v>229</v>
      </c>
      <c r="C114" s="763">
        <f>'Input Data'!$E$8</f>
        <v>0</v>
      </c>
      <c r="D114" s="3"/>
      <c r="E114" s="3"/>
      <c r="F114" s="272"/>
    </row>
    <row r="115" spans="1:6" ht="15.75" thickBot="1" x14ac:dyDescent="0.3">
      <c r="A115" s="38"/>
      <c r="B115" s="1423"/>
      <c r="C115" s="74"/>
      <c r="D115" s="37"/>
      <c r="E115" s="37"/>
      <c r="F115" s="311"/>
    </row>
    <row r="116" spans="1:6" s="692" customFormat="1" ht="15.75" thickBot="1" x14ac:dyDescent="0.3">
      <c r="A116" s="38"/>
      <c r="B116" s="1423" t="s">
        <v>988</v>
      </c>
      <c r="C116" s="766" t="str">
        <f>'Input Data'!E268</f>
        <v>Yes</v>
      </c>
      <c r="D116" s="37"/>
      <c r="E116" s="37"/>
      <c r="F116" s="311"/>
    </row>
    <row r="117" spans="1:6" ht="15.75" thickBot="1" x14ac:dyDescent="0.3">
      <c r="A117" s="38"/>
      <c r="B117" s="679" t="s">
        <v>514</v>
      </c>
      <c r="C117" s="766">
        <f>'Input Data'!E269</f>
        <v>0</v>
      </c>
      <c r="D117" s="679" t="s">
        <v>515</v>
      </c>
      <c r="E117" s="37"/>
      <c r="F117" s="311"/>
    </row>
    <row r="118" spans="1:6" ht="15.75" thickBot="1" x14ac:dyDescent="0.3">
      <c r="A118" s="38"/>
      <c r="B118" s="1423"/>
      <c r="C118" s="74"/>
      <c r="D118" s="37"/>
      <c r="E118" s="37"/>
      <c r="F118" s="311"/>
    </row>
    <row r="119" spans="1:6" ht="15.75" thickBot="1" x14ac:dyDescent="0.3">
      <c r="A119" s="1005" t="s">
        <v>265</v>
      </c>
      <c r="B119" s="357" t="s">
        <v>2073</v>
      </c>
      <c r="C119" s="1238">
        <f>C117</f>
        <v>0</v>
      </c>
      <c r="D119" s="358" t="s">
        <v>515</v>
      </c>
      <c r="E119" s="1004" t="str">
        <f>E113</f>
        <v>NON COMPLIANT</v>
      </c>
      <c r="F119" s="359"/>
    </row>
    <row r="120" spans="1:6" ht="15.75" thickBot="1" x14ac:dyDescent="0.3">
      <c r="A120" s="11"/>
      <c r="B120" s="12"/>
      <c r="C120" s="753"/>
      <c r="D120" s="11"/>
      <c r="E120" s="11"/>
      <c r="F120" s="11"/>
    </row>
    <row r="121" spans="1:6" ht="15.75" thickBot="1" x14ac:dyDescent="0.3">
      <c r="A121" s="860" t="s">
        <v>260</v>
      </c>
      <c r="B121" s="19" t="s">
        <v>229</v>
      </c>
      <c r="C121" s="19" t="s">
        <v>232</v>
      </c>
      <c r="D121" s="19" t="s">
        <v>342</v>
      </c>
      <c r="E121" s="19" t="s">
        <v>1265</v>
      </c>
      <c r="F121" s="270" t="s">
        <v>344</v>
      </c>
    </row>
    <row r="122" spans="1:6" ht="27.75" thickBot="1" x14ac:dyDescent="0.3">
      <c r="A122" s="6" t="s">
        <v>2067</v>
      </c>
      <c r="B122" s="36" t="s">
        <v>268</v>
      </c>
      <c r="C122" s="764">
        <v>100</v>
      </c>
      <c r="D122" s="1423" t="s">
        <v>210</v>
      </c>
      <c r="E122" s="35" t="str">
        <f>IF(C126=100,"COMPLIANT","NOT COMPLIANT")</f>
        <v>NOT COMPLIANT</v>
      </c>
      <c r="F122" s="271" t="s">
        <v>2071</v>
      </c>
    </row>
    <row r="123" spans="1:6" ht="15.75" thickBot="1" x14ac:dyDescent="0.3">
      <c r="A123" s="991" t="s">
        <v>2077</v>
      </c>
      <c r="B123" s="268" t="s">
        <v>229</v>
      </c>
      <c r="C123" s="763">
        <f>'[1]Input Data'!$E$7</f>
        <v>43556</v>
      </c>
      <c r="D123" s="3"/>
      <c r="E123" s="3"/>
      <c r="F123" s="272"/>
    </row>
    <row r="124" spans="1:6" s="692" customFormat="1" ht="15.75" thickBot="1" x14ac:dyDescent="0.3">
      <c r="A124" s="38"/>
      <c r="B124" s="66" t="s">
        <v>518</v>
      </c>
      <c r="C124" s="766">
        <f>IF(ISBLANK('Input Data'!$E$270), "", 'Input Data'!$E$270)</f>
        <v>0</v>
      </c>
      <c r="D124" s="37"/>
      <c r="E124" s="37"/>
      <c r="F124" s="311"/>
    </row>
    <row r="125" spans="1:6" s="692" customFormat="1" ht="15.75" thickBot="1" x14ac:dyDescent="0.3">
      <c r="A125" s="38"/>
      <c r="B125" s="1423" t="s">
        <v>520</v>
      </c>
      <c r="C125" s="766">
        <f>IF(ISBLANK('Input Data'!$E$271), "", 'Input Data'!$E$271)</f>
        <v>0</v>
      </c>
      <c r="D125" s="37"/>
      <c r="E125" s="37"/>
      <c r="F125" s="311"/>
    </row>
    <row r="126" spans="1:6" ht="15.75" thickBot="1" x14ac:dyDescent="0.3">
      <c r="A126" s="871" t="s">
        <v>267</v>
      </c>
      <c r="B126" s="274" t="s">
        <v>268</v>
      </c>
      <c r="C126" s="15" t="str">
        <f>IFERROR(C125/C124*100,"")</f>
        <v/>
      </c>
      <c r="D126" s="128" t="s">
        <v>210</v>
      </c>
      <c r="E126" s="128" t="str">
        <f>E122</f>
        <v>NOT COMPLIANT</v>
      </c>
      <c r="F126" s="273"/>
    </row>
    <row r="127" spans="1:6" ht="15.75" thickBot="1" x14ac:dyDescent="0.3">
      <c r="A127" s="261"/>
      <c r="B127" s="32"/>
      <c r="C127" s="994"/>
      <c r="D127" s="34"/>
      <c r="E127" s="34"/>
      <c r="F127" s="34"/>
    </row>
    <row r="128" spans="1:6" s="692" customFormat="1" ht="15.75" thickBot="1" x14ac:dyDescent="0.3">
      <c r="A128" s="18" t="s">
        <v>260</v>
      </c>
      <c r="B128" s="19" t="s">
        <v>229</v>
      </c>
      <c r="C128" s="378" t="s">
        <v>232</v>
      </c>
      <c r="D128" s="19" t="s">
        <v>342</v>
      </c>
      <c r="E128" s="19" t="s">
        <v>231</v>
      </c>
      <c r="F128" s="195" t="s">
        <v>344</v>
      </c>
    </row>
    <row r="129" spans="1:6" s="692" customFormat="1" ht="41.25" thickBot="1" x14ac:dyDescent="0.3">
      <c r="A129" s="6" t="s">
        <v>2067</v>
      </c>
      <c r="B129" s="679" t="s">
        <v>2078</v>
      </c>
      <c r="C129" s="388" t="s">
        <v>2079</v>
      </c>
      <c r="D129" s="1423" t="s">
        <v>210</v>
      </c>
      <c r="E129" s="1423"/>
      <c r="F129" s="199" t="s">
        <v>2080</v>
      </c>
    </row>
    <row r="130" spans="1:6" s="692" customFormat="1" ht="15.75" thickBot="1" x14ac:dyDescent="0.3">
      <c r="A130" s="267" t="s">
        <v>2081</v>
      </c>
      <c r="B130" s="42" t="s">
        <v>229</v>
      </c>
      <c r="C130" s="386">
        <f>'Input Data'!$E$8</f>
        <v>0</v>
      </c>
      <c r="D130" s="3"/>
      <c r="E130" s="3"/>
      <c r="F130" s="200"/>
    </row>
    <row r="131" spans="1:6" s="692" customFormat="1" ht="15.75" thickBot="1" x14ac:dyDescent="0.3">
      <c r="A131" s="679"/>
      <c r="B131" s="48"/>
      <c r="C131" s="389"/>
      <c r="D131" s="37"/>
      <c r="E131" s="37"/>
      <c r="F131" s="196"/>
    </row>
    <row r="132" spans="1:6" s="692" customFormat="1" ht="15.75" thickBot="1" x14ac:dyDescent="0.3">
      <c r="A132" s="679"/>
      <c r="B132" s="47" t="s">
        <v>994</v>
      </c>
      <c r="C132" s="393">
        <f>'Input Data'!E272</f>
        <v>0</v>
      </c>
      <c r="D132" s="47" t="s">
        <v>462</v>
      </c>
      <c r="E132" s="47"/>
      <c r="F132" s="209"/>
    </row>
    <row r="133" spans="1:6" s="692" customFormat="1" ht="27.75" thickBot="1" x14ac:dyDescent="0.3">
      <c r="A133" s="679"/>
      <c r="B133" s="36" t="s">
        <v>461</v>
      </c>
      <c r="C133" s="393">
        <f>'Input Data'!E249</f>
        <v>0</v>
      </c>
      <c r="D133" s="47" t="s">
        <v>462</v>
      </c>
      <c r="E133" s="47"/>
      <c r="F133" s="209"/>
    </row>
    <row r="134" spans="1:6" s="692" customFormat="1" ht="15.75" thickBot="1" x14ac:dyDescent="0.3">
      <c r="A134" s="679"/>
      <c r="B134" s="47"/>
      <c r="C134" s="419"/>
      <c r="D134" s="47"/>
      <c r="E134" s="47"/>
      <c r="F134" s="209"/>
    </row>
    <row r="135" spans="1:6" s="692" customFormat="1" ht="15.75" thickBot="1" x14ac:dyDescent="0.3">
      <c r="A135" s="130" t="s">
        <v>326</v>
      </c>
      <c r="B135" s="132" t="s">
        <v>2078</v>
      </c>
      <c r="C135" s="1036" t="str">
        <f>IFERROR(C132/C133*100, "")</f>
        <v/>
      </c>
      <c r="D135" s="132" t="s">
        <v>210</v>
      </c>
      <c r="E135" s="40" t="str">
        <f>IF(C133=0,"",IF(C135&lt;5,"COMPLIANT","NOT COMPLIANT"))</f>
        <v/>
      </c>
      <c r="F135" s="226"/>
    </row>
    <row r="136" spans="1:6" s="692" customFormat="1" x14ac:dyDescent="0.25">
      <c r="A136" s="261"/>
      <c r="B136" s="32"/>
      <c r="C136" s="994"/>
      <c r="D136" s="34"/>
      <c r="E136" s="34"/>
      <c r="F136" s="34"/>
    </row>
    <row r="137" spans="1:6" ht="41.25" thickBot="1" x14ac:dyDescent="0.3">
      <c r="A137" s="6" t="s">
        <v>1282</v>
      </c>
      <c r="B137" s="260" t="s">
        <v>270</v>
      </c>
      <c r="C137" s="417" t="s">
        <v>399</v>
      </c>
      <c r="D137" s="126" t="s">
        <v>400</v>
      </c>
      <c r="E137" s="122" t="str">
        <f>IF(C139="Yes","COMPLIANT","NOT COMPLIANT")</f>
        <v>COMPLIANT</v>
      </c>
      <c r="F137" s="354" t="s">
        <v>1283</v>
      </c>
    </row>
    <row r="138" spans="1:6" ht="15.75" thickBot="1" x14ac:dyDescent="0.3">
      <c r="A138" s="866" t="s">
        <v>2082</v>
      </c>
      <c r="B138" s="268" t="s">
        <v>229</v>
      </c>
      <c r="C138" s="386">
        <f>'Input Data'!$E$8</f>
        <v>0</v>
      </c>
      <c r="D138" s="3"/>
      <c r="E138" s="3"/>
      <c r="F138" s="272"/>
    </row>
    <row r="139" spans="1:6" ht="41.25" thickBot="1" x14ac:dyDescent="0.3">
      <c r="A139" s="871" t="s">
        <v>269</v>
      </c>
      <c r="B139" s="274" t="s">
        <v>270</v>
      </c>
      <c r="C139" s="416" t="str">
        <f>'Input Data'!$E$273</f>
        <v>Yes</v>
      </c>
      <c r="D139" s="128"/>
      <c r="E139" s="128" t="str">
        <f>E137</f>
        <v>COMPLIANT</v>
      </c>
      <c r="F139" s="273"/>
    </row>
    <row r="140" spans="1:6" ht="16.5" thickBot="1" x14ac:dyDescent="0.35">
      <c r="A140" s="244"/>
      <c r="B140" s="692"/>
      <c r="C140" s="567"/>
      <c r="D140" s="247"/>
      <c r="E140" s="188"/>
      <c r="F140" s="245"/>
    </row>
    <row r="141" spans="1:6" ht="15.75" thickBot="1" x14ac:dyDescent="0.3">
      <c r="A141" s="860" t="s">
        <v>271</v>
      </c>
      <c r="B141" s="19" t="s">
        <v>229</v>
      </c>
      <c r="C141" s="378" t="s">
        <v>232</v>
      </c>
      <c r="D141" s="19" t="s">
        <v>342</v>
      </c>
      <c r="E141" s="19" t="s">
        <v>1265</v>
      </c>
      <c r="F141" s="270" t="s">
        <v>344</v>
      </c>
    </row>
    <row r="142" spans="1:6" ht="40.5" x14ac:dyDescent="0.25">
      <c r="A142" s="6" t="s">
        <v>1282</v>
      </c>
      <c r="B142" s="260" t="s">
        <v>273</v>
      </c>
      <c r="C142" s="417" t="s">
        <v>399</v>
      </c>
      <c r="D142" s="126" t="s">
        <v>400</v>
      </c>
      <c r="E142" s="122" t="str">
        <f>IF(C144="Yes","COMPLIANT","NOT COMPLIANT")</f>
        <v>COMPLIANT</v>
      </c>
      <c r="F142" s="354" t="s">
        <v>1283</v>
      </c>
    </row>
    <row r="143" spans="1:6" ht="15.75" thickBot="1" x14ac:dyDescent="0.3">
      <c r="A143" s="866" t="s">
        <v>2083</v>
      </c>
      <c r="B143" s="268" t="s">
        <v>229</v>
      </c>
      <c r="C143" s="386">
        <f>'Input Data'!$E$8</f>
        <v>0</v>
      </c>
      <c r="D143" s="3"/>
      <c r="E143" s="3"/>
      <c r="F143" s="272"/>
    </row>
    <row r="144" spans="1:6" ht="15.75" thickBot="1" x14ac:dyDescent="0.3">
      <c r="A144" s="871" t="s">
        <v>272</v>
      </c>
      <c r="B144" s="274" t="s">
        <v>526</v>
      </c>
      <c r="C144" s="416" t="str">
        <f>IF(ISBLANK('Input Data'!$E$274), "", 'Input Data'!$E$274)</f>
        <v>Yes</v>
      </c>
      <c r="D144" s="128"/>
      <c r="E144" s="128" t="str">
        <f>E142</f>
        <v>COMPLIANT</v>
      </c>
      <c r="F144" s="273"/>
    </row>
    <row r="145" spans="1:6" ht="15.75" thickBot="1" x14ac:dyDescent="0.3">
      <c r="A145" s="692"/>
      <c r="B145" s="692"/>
      <c r="C145" s="692"/>
      <c r="D145" s="692"/>
      <c r="E145" s="692"/>
      <c r="F145" s="692"/>
    </row>
    <row r="146" spans="1:6" s="692" customFormat="1" ht="15.75" thickBot="1" x14ac:dyDescent="0.3">
      <c r="A146" s="181" t="s">
        <v>271</v>
      </c>
      <c r="B146" s="19" t="s">
        <v>229</v>
      </c>
      <c r="C146" s="378" t="s">
        <v>232</v>
      </c>
      <c r="D146" s="19" t="s">
        <v>342</v>
      </c>
      <c r="E146" s="19" t="s">
        <v>1265</v>
      </c>
      <c r="F146" s="270" t="s">
        <v>344</v>
      </c>
    </row>
    <row r="147" spans="1:6" s="692" customFormat="1" ht="27.75" thickBot="1" x14ac:dyDescent="0.3">
      <c r="A147" s="6" t="s">
        <v>1282</v>
      </c>
      <c r="B147" s="260" t="s">
        <v>275</v>
      </c>
      <c r="C147" s="417" t="s">
        <v>399</v>
      </c>
      <c r="D147" s="126" t="s">
        <v>400</v>
      </c>
      <c r="E147" s="122" t="str">
        <f>IF(C149="Yes","COMPLIANT","NOT COMPLIANT")</f>
        <v>COMPLIANT</v>
      </c>
      <c r="F147" s="354" t="s">
        <v>1283</v>
      </c>
    </row>
    <row r="148" spans="1:6" s="692" customFormat="1" ht="15.75" thickBot="1" x14ac:dyDescent="0.3">
      <c r="A148" s="1322" t="s">
        <v>1284</v>
      </c>
      <c r="B148" s="268" t="s">
        <v>229</v>
      </c>
      <c r="C148" s="386">
        <f>'Input Data'!$E$8</f>
        <v>0</v>
      </c>
      <c r="D148" s="3"/>
      <c r="E148" s="3"/>
      <c r="F148" s="272"/>
    </row>
    <row r="149" spans="1:6" s="692" customFormat="1" ht="15.75" thickBot="1" x14ac:dyDescent="0.3">
      <c r="A149" s="1208" t="s">
        <v>2084</v>
      </c>
      <c r="B149" s="274" t="s">
        <v>529</v>
      </c>
      <c r="C149" s="416" t="str">
        <f>IF(ISBLANK('Input Data'!$E$275), "", 'Input Data'!$E$275)</f>
        <v>Yes</v>
      </c>
      <c r="D149" s="128"/>
      <c r="E149" s="128" t="str">
        <f>E147</f>
        <v>COMPLIANT</v>
      </c>
      <c r="F149" s="273"/>
    </row>
    <row r="150" spans="1:6" s="692" customFormat="1" x14ac:dyDescent="0.25"/>
    <row r="151" spans="1:6" ht="15.75" x14ac:dyDescent="0.3">
      <c r="A151" s="4" t="s">
        <v>201</v>
      </c>
      <c r="B151" s="692"/>
      <c r="D151" s="692"/>
      <c r="E151" s="692"/>
      <c r="F151" s="692"/>
    </row>
    <row r="152" spans="1:6" ht="15.75" x14ac:dyDescent="0.3">
      <c r="A152" s="4" t="s">
        <v>202</v>
      </c>
      <c r="B152" s="692"/>
      <c r="D152" s="692"/>
      <c r="E152" s="692"/>
      <c r="F152" s="692"/>
    </row>
  </sheetData>
  <pageMargins left="0.7" right="0.7" top="0.75" bottom="0.75" header="0.3" footer="0.3"/>
  <pageSetup paperSize="9" orientation="portrait" horizontalDpi="4294967293" verticalDpi="0" r:id="rId1"/>
  <drawing r:id="rId2"/>
  <legacy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G191"/>
  <sheetViews>
    <sheetView showGridLines="0" topLeftCell="A131" workbookViewId="0">
      <selection activeCell="A143" sqref="A143"/>
    </sheetView>
  </sheetViews>
  <sheetFormatPr defaultColWidth="8.85546875" defaultRowHeight="15" x14ac:dyDescent="0.25"/>
  <cols>
    <col min="1" max="1" width="45" customWidth="1"/>
    <col min="2" max="2" width="38.5703125" customWidth="1"/>
    <col min="3" max="3" width="15" style="21" customWidth="1"/>
    <col min="4" max="4" width="15.42578125" customWidth="1"/>
    <col min="5" max="5" width="13.140625" customWidth="1"/>
    <col min="6" max="6" width="49.28515625" customWidth="1"/>
  </cols>
  <sheetData>
    <row r="1" spans="1:6" s="727" customFormat="1" ht="71.25" customHeight="1" thickBot="1" x14ac:dyDescent="0.3">
      <c r="A1" s="726" t="s">
        <v>2004</v>
      </c>
      <c r="B1" s="730" t="s">
        <v>2005</v>
      </c>
      <c r="C1" s="21"/>
    </row>
    <row r="2" spans="1:6" ht="15.75" thickBot="1" x14ac:dyDescent="0.3">
      <c r="A2" s="860" t="s">
        <v>242</v>
      </c>
      <c r="B2" s="861" t="s">
        <v>229</v>
      </c>
      <c r="C2" s="862" t="s">
        <v>232</v>
      </c>
      <c r="D2" s="861" t="s">
        <v>342</v>
      </c>
      <c r="E2" s="861" t="s">
        <v>1265</v>
      </c>
      <c r="F2" s="863" t="s">
        <v>344</v>
      </c>
    </row>
    <row r="3" spans="1:6" ht="81.75" thickBot="1" x14ac:dyDescent="0.3">
      <c r="A3" s="36" t="s">
        <v>2006</v>
      </c>
      <c r="B3" s="260" t="s">
        <v>2085</v>
      </c>
      <c r="C3" s="1115" t="s">
        <v>399</v>
      </c>
      <c r="D3" s="122" t="s">
        <v>400</v>
      </c>
      <c r="E3" s="122" t="str">
        <f>IF(C7="Yes","COMPLIANT","NOT COMPLIANT")</f>
        <v>COMPLIANT</v>
      </c>
      <c r="F3" s="354" t="s">
        <v>1396</v>
      </c>
    </row>
    <row r="4" spans="1:6" ht="15.75" thickBot="1" x14ac:dyDescent="0.3">
      <c r="A4" s="866" t="s">
        <v>2008</v>
      </c>
      <c r="B4" s="1116" t="s">
        <v>229</v>
      </c>
      <c r="C4" s="386">
        <f>'Input Data'!$E$8</f>
        <v>0</v>
      </c>
      <c r="D4" s="869"/>
      <c r="E4" s="1121"/>
      <c r="F4" s="870"/>
    </row>
    <row r="5" spans="1:6" ht="27.75" thickBot="1" x14ac:dyDescent="0.35">
      <c r="A5" s="866"/>
      <c r="B5" s="1120" t="s">
        <v>2009</v>
      </c>
      <c r="C5" s="416" t="str">
        <f>'Input Data'!$E$34</f>
        <v>Yes</v>
      </c>
      <c r="D5" s="869"/>
      <c r="E5" s="869"/>
      <c r="F5" s="870"/>
    </row>
    <row r="6" spans="1:6" ht="27.75" thickBot="1" x14ac:dyDescent="0.35">
      <c r="A6" s="866"/>
      <c r="B6" s="1120" t="s">
        <v>437</v>
      </c>
      <c r="C6" s="416" t="str">
        <f>'Input Data'!$E$35</f>
        <v>Yes</v>
      </c>
      <c r="D6" s="869"/>
      <c r="E6" s="869"/>
      <c r="F6" s="870"/>
    </row>
    <row r="7" spans="1:6" ht="41.25" thickBot="1" x14ac:dyDescent="0.3">
      <c r="A7" s="871" t="s">
        <v>2010</v>
      </c>
      <c r="B7" s="1117" t="s">
        <v>2011</v>
      </c>
      <c r="C7" s="416" t="str">
        <f>IF(AND(C5="Yes", C6="Yes"), "Yes", "No")</f>
        <v>Yes</v>
      </c>
      <c r="D7" s="873"/>
      <c r="E7" s="132" t="str">
        <f>E3</f>
        <v>COMPLIANT</v>
      </c>
      <c r="F7" s="874"/>
    </row>
    <row r="8" spans="1:6" ht="15.75" thickBot="1" x14ac:dyDescent="0.3">
      <c r="A8" s="692"/>
      <c r="B8" s="692"/>
      <c r="D8" s="692"/>
      <c r="E8" s="692"/>
      <c r="F8" s="692"/>
    </row>
    <row r="9" spans="1:6" ht="15.75" thickBot="1" x14ac:dyDescent="0.3">
      <c r="A9" s="860" t="s">
        <v>242</v>
      </c>
      <c r="B9" s="861" t="s">
        <v>229</v>
      </c>
      <c r="C9" s="862" t="s">
        <v>232</v>
      </c>
      <c r="D9" s="861" t="s">
        <v>342</v>
      </c>
      <c r="E9" s="861" t="s">
        <v>1265</v>
      </c>
      <c r="F9" s="863" t="s">
        <v>344</v>
      </c>
    </row>
    <row r="10" spans="1:6" ht="81.75" thickBot="1" x14ac:dyDescent="0.3">
      <c r="A10" s="36" t="s">
        <v>2006</v>
      </c>
      <c r="B10" s="260" t="s">
        <v>2012</v>
      </c>
      <c r="C10" s="1115" t="s">
        <v>399</v>
      </c>
      <c r="D10" s="122" t="s">
        <v>400</v>
      </c>
      <c r="E10" s="122" t="str">
        <f>IF(C12="Yes","COMPLIANT","NOT COMPLIANT")</f>
        <v>COMPLIANT</v>
      </c>
      <c r="F10" s="354" t="s">
        <v>1396</v>
      </c>
    </row>
    <row r="11" spans="1:6" ht="15.75" thickBot="1" x14ac:dyDescent="0.3">
      <c r="A11" s="866" t="s">
        <v>2013</v>
      </c>
      <c r="B11" s="1116" t="s">
        <v>229</v>
      </c>
      <c r="C11" s="386">
        <f>'Input Data'!$E$8</f>
        <v>0</v>
      </c>
      <c r="D11" s="1121"/>
      <c r="E11" s="1121"/>
      <c r="F11" s="870"/>
    </row>
    <row r="12" spans="1:6" ht="27.75" thickBot="1" x14ac:dyDescent="0.3">
      <c r="A12" s="871" t="s">
        <v>2014</v>
      </c>
      <c r="B12" s="1117" t="s">
        <v>2012</v>
      </c>
      <c r="C12" s="416" t="str">
        <f>'Input Data'!$E$36</f>
        <v>Yes</v>
      </c>
      <c r="D12" s="132"/>
      <c r="E12" s="132" t="str">
        <f>E10</f>
        <v>COMPLIANT</v>
      </c>
      <c r="F12" s="874"/>
    </row>
    <row r="13" spans="1:6" ht="15.75" thickBot="1" x14ac:dyDescent="0.3">
      <c r="A13" s="692"/>
      <c r="B13" s="692"/>
      <c r="D13" s="692"/>
      <c r="E13" s="692"/>
      <c r="F13" s="692"/>
    </row>
    <row r="14" spans="1:6" ht="15.75" thickBot="1" x14ac:dyDescent="0.3">
      <c r="A14" s="860" t="s">
        <v>242</v>
      </c>
      <c r="B14" s="19" t="s">
        <v>229</v>
      </c>
      <c r="C14" s="378" t="s">
        <v>232</v>
      </c>
      <c r="D14" s="19" t="s">
        <v>342</v>
      </c>
      <c r="E14" s="19" t="s">
        <v>1265</v>
      </c>
      <c r="F14" s="270" t="s">
        <v>344</v>
      </c>
    </row>
    <row r="15" spans="1:6" ht="41.25" thickBot="1" x14ac:dyDescent="0.3">
      <c r="A15" s="6" t="s">
        <v>256</v>
      </c>
      <c r="B15" s="260" t="s">
        <v>246</v>
      </c>
      <c r="C15" s="417" t="s">
        <v>399</v>
      </c>
      <c r="D15" s="126" t="s">
        <v>400</v>
      </c>
      <c r="E15" s="122" t="str">
        <f>IF(C19="Yes","COMPLIANT","NOT COMPLIANT")</f>
        <v>COMPLIANT</v>
      </c>
      <c r="F15" s="354" t="s">
        <v>2015</v>
      </c>
    </row>
    <row r="16" spans="1:6" ht="24.95" customHeight="1" thickBot="1" x14ac:dyDescent="0.3">
      <c r="A16" s="866" t="s">
        <v>2016</v>
      </c>
      <c r="B16" s="268" t="s">
        <v>229</v>
      </c>
      <c r="C16" s="386"/>
      <c r="D16" s="3"/>
      <c r="E16" s="3"/>
      <c r="F16" s="272"/>
    </row>
    <row r="17" spans="1:6" s="692" customFormat="1" ht="49.5" customHeight="1" thickBot="1" x14ac:dyDescent="0.3">
      <c r="A17" s="1423"/>
      <c r="B17" s="65" t="s">
        <v>445</v>
      </c>
      <c r="C17" s="689" t="str">
        <f>'Input Data'!E38</f>
        <v>Yes</v>
      </c>
      <c r="D17" s="66"/>
      <c r="E17" s="1423"/>
      <c r="F17" s="1423"/>
    </row>
    <row r="18" spans="1:6" s="692" customFormat="1" ht="58.5" customHeight="1" thickBot="1" x14ac:dyDescent="0.3">
      <c r="A18" s="1423"/>
      <c r="B18" s="65" t="s">
        <v>447</v>
      </c>
      <c r="C18" s="689" t="str">
        <f>'Input Data'!E39</f>
        <v>Yes</v>
      </c>
      <c r="D18" s="66"/>
      <c r="E18" s="1423"/>
      <c r="F18" s="1423"/>
    </row>
    <row r="19" spans="1:6" s="692" customFormat="1" ht="58.5" customHeight="1" thickBot="1" x14ac:dyDescent="0.3">
      <c r="A19" s="871" t="s">
        <v>2018</v>
      </c>
      <c r="B19" s="1117" t="s">
        <v>246</v>
      </c>
      <c r="C19" s="1239" t="str">
        <f>IF(AND(C17="Yes",C18="Yes"),"Yes","No")</f>
        <v>Yes</v>
      </c>
      <c r="D19" s="128"/>
      <c r="E19" s="128" t="str">
        <f>E15</f>
        <v>COMPLIANT</v>
      </c>
      <c r="F19" s="273"/>
    </row>
    <row r="20" spans="1:6" ht="15.75" thickBot="1" x14ac:dyDescent="0.3">
      <c r="A20" s="692"/>
      <c r="B20" s="692"/>
      <c r="D20" s="692"/>
      <c r="E20" s="692"/>
      <c r="F20" s="692"/>
    </row>
    <row r="21" spans="1:6" ht="15.75" thickBot="1" x14ac:dyDescent="0.3">
      <c r="A21" s="860" t="s">
        <v>242</v>
      </c>
      <c r="B21" s="19" t="s">
        <v>229</v>
      </c>
      <c r="C21" s="19" t="s">
        <v>232</v>
      </c>
      <c r="D21" s="19" t="s">
        <v>342</v>
      </c>
      <c r="E21" s="19" t="s">
        <v>1265</v>
      </c>
      <c r="F21" s="270" t="s">
        <v>344</v>
      </c>
    </row>
    <row r="22" spans="1:6" ht="27" x14ac:dyDescent="0.25">
      <c r="A22" s="6" t="s">
        <v>256</v>
      </c>
      <c r="B22" s="36" t="s">
        <v>248</v>
      </c>
      <c r="C22" s="764" t="s">
        <v>399</v>
      </c>
      <c r="D22" s="1423" t="s">
        <v>400</v>
      </c>
      <c r="E22" s="35" t="str">
        <f>IF(C24="Yes","COMPLIANT","NOT COMPLIANT")</f>
        <v>COMPLIANT</v>
      </c>
      <c r="F22" s="271" t="s">
        <v>2020</v>
      </c>
    </row>
    <row r="23" spans="1:6" ht="15.75" thickBot="1" x14ac:dyDescent="0.3">
      <c r="A23" s="991" t="s">
        <v>2021</v>
      </c>
      <c r="B23" s="268" t="s">
        <v>229</v>
      </c>
      <c r="C23" s="763">
        <f>'Input Data'!$E$8</f>
        <v>0</v>
      </c>
      <c r="D23" s="3"/>
      <c r="E23" s="3"/>
      <c r="F23" s="272"/>
    </row>
    <row r="24" spans="1:6" ht="61.5" customHeight="1" thickBot="1" x14ac:dyDescent="0.3">
      <c r="A24" s="871" t="s">
        <v>247</v>
      </c>
      <c r="B24" s="274" t="s">
        <v>248</v>
      </c>
      <c r="C24" s="766" t="str">
        <f>'Input Data'!$E$40</f>
        <v>Yes</v>
      </c>
      <c r="D24" s="128"/>
      <c r="E24" s="128" t="str">
        <f>E22</f>
        <v>COMPLIANT</v>
      </c>
      <c r="F24" s="273"/>
    </row>
    <row r="25" spans="1:6" s="709" customFormat="1" ht="22.5" customHeight="1" thickBot="1" x14ac:dyDescent="0.3">
      <c r="A25" s="261"/>
      <c r="B25" s="878"/>
      <c r="C25" s="876"/>
      <c r="D25" s="261"/>
      <c r="E25" s="261"/>
      <c r="F25" s="879"/>
    </row>
    <row r="26" spans="1:6" s="709" customFormat="1" ht="61.5" customHeight="1" thickBot="1" x14ac:dyDescent="0.3">
      <c r="A26" s="860" t="s">
        <v>242</v>
      </c>
      <c r="B26" s="19" t="s">
        <v>229</v>
      </c>
      <c r="C26" s="19" t="s">
        <v>232</v>
      </c>
      <c r="D26" s="19" t="s">
        <v>342</v>
      </c>
      <c r="E26" s="19" t="s">
        <v>1265</v>
      </c>
      <c r="F26" s="238" t="s">
        <v>344</v>
      </c>
    </row>
    <row r="27" spans="1:6" s="709" customFormat="1" ht="61.5" customHeight="1" thickBot="1" x14ac:dyDescent="0.3">
      <c r="A27" s="6" t="s">
        <v>256</v>
      </c>
      <c r="B27" s="286" t="s">
        <v>250</v>
      </c>
      <c r="C27" s="355" t="s">
        <v>2024</v>
      </c>
      <c r="D27" s="1420" t="s">
        <v>210</v>
      </c>
      <c r="E27" s="35" t="str">
        <f>IF(C29&gt;90,"COMPLIANT","NOT COMPLIANT")</f>
        <v>NOT COMPLIANT</v>
      </c>
      <c r="F27" s="762" t="s">
        <v>2025</v>
      </c>
    </row>
    <row r="28" spans="1:6" ht="15.75" thickBot="1" x14ac:dyDescent="0.3">
      <c r="A28" s="991" t="s">
        <v>2026</v>
      </c>
      <c r="B28" s="42" t="s">
        <v>229</v>
      </c>
      <c r="C28" s="386">
        <f>'Input Data'!$E$8</f>
        <v>0</v>
      </c>
      <c r="D28" s="3"/>
      <c r="E28" s="3"/>
      <c r="F28" s="272"/>
    </row>
    <row r="29" spans="1:6" ht="40.5" x14ac:dyDescent="0.25">
      <c r="A29" s="871" t="s">
        <v>249</v>
      </c>
      <c r="B29" s="360" t="s">
        <v>250</v>
      </c>
      <c r="C29" s="393">
        <f>'Input Data'!$E$41</f>
        <v>0</v>
      </c>
      <c r="D29" s="361" t="s">
        <v>210</v>
      </c>
      <c r="E29" s="128" t="str">
        <f>E27</f>
        <v>NOT COMPLIANT</v>
      </c>
      <c r="F29" s="273"/>
    </row>
    <row r="30" spans="1:6" ht="15.6" customHeight="1" thickBot="1" x14ac:dyDescent="0.3">
      <c r="A30" s="692"/>
      <c r="B30" s="692"/>
      <c r="C30" s="568"/>
      <c r="D30" s="692"/>
      <c r="E30" s="692"/>
      <c r="F30" s="692"/>
    </row>
    <row r="31" spans="1:6" s="692" customFormat="1" ht="17.100000000000001" customHeight="1" thickBot="1" x14ac:dyDescent="0.3">
      <c r="A31" s="860" t="s">
        <v>242</v>
      </c>
      <c r="B31" s="19" t="s">
        <v>229</v>
      </c>
      <c r="C31" s="378" t="s">
        <v>232</v>
      </c>
      <c r="D31" s="19" t="s">
        <v>342</v>
      </c>
      <c r="E31" s="19" t="s">
        <v>1265</v>
      </c>
      <c r="F31" s="270" t="s">
        <v>344</v>
      </c>
    </row>
    <row r="32" spans="1:6" s="692" customFormat="1" ht="25.5" customHeight="1" thickBot="1" x14ac:dyDescent="0.3">
      <c r="A32" s="6" t="s">
        <v>256</v>
      </c>
      <c r="B32" s="260" t="s">
        <v>252</v>
      </c>
      <c r="C32" s="417" t="s">
        <v>399</v>
      </c>
      <c r="D32" s="126" t="s">
        <v>400</v>
      </c>
      <c r="E32" s="122" t="str">
        <f>IF(C34="Yes","COMPLIANT","NOT COMPLIANT")</f>
        <v>COMPLIANT</v>
      </c>
      <c r="F32" s="354" t="s">
        <v>2027</v>
      </c>
    </row>
    <row r="33" spans="1:7" s="692" customFormat="1" ht="17.100000000000001" customHeight="1" thickBot="1" x14ac:dyDescent="0.3">
      <c r="A33" s="866" t="s">
        <v>2028</v>
      </c>
      <c r="B33" s="268" t="s">
        <v>229</v>
      </c>
      <c r="C33" s="386">
        <f>'Input Data'!$E$8</f>
        <v>0</v>
      </c>
      <c r="D33" s="3"/>
      <c r="E33" s="3"/>
      <c r="F33" s="272"/>
    </row>
    <row r="34" spans="1:7" s="692" customFormat="1" ht="27" customHeight="1" thickBot="1" x14ac:dyDescent="0.3">
      <c r="A34" s="871" t="s">
        <v>2029</v>
      </c>
      <c r="B34" s="274" t="s">
        <v>2030</v>
      </c>
      <c r="C34" s="416" t="str">
        <f>'Input Data'!$E$42</f>
        <v>Yes</v>
      </c>
      <c r="D34" s="128"/>
      <c r="E34" s="128" t="str">
        <f>E32</f>
        <v>COMPLIANT</v>
      </c>
      <c r="F34" s="273"/>
    </row>
    <row r="35" spans="1:7" s="692" customFormat="1" ht="17.100000000000001" customHeight="1" thickBot="1" x14ac:dyDescent="0.3">
      <c r="C35" s="568"/>
    </row>
    <row r="36" spans="1:7" s="692" customFormat="1" ht="62.25" customHeight="1" thickBot="1" x14ac:dyDescent="0.3">
      <c r="A36" s="860" t="s">
        <v>242</v>
      </c>
      <c r="B36" s="19" t="s">
        <v>229</v>
      </c>
      <c r="C36" s="378" t="s">
        <v>232</v>
      </c>
      <c r="D36" s="19" t="s">
        <v>342</v>
      </c>
      <c r="E36" s="19" t="s">
        <v>1265</v>
      </c>
      <c r="F36" s="238" t="s">
        <v>344</v>
      </c>
    </row>
    <row r="37" spans="1:7" ht="68.25" thickBot="1" x14ac:dyDescent="0.3">
      <c r="A37" s="6" t="s">
        <v>256</v>
      </c>
      <c r="B37" s="286" t="s">
        <v>254</v>
      </c>
      <c r="C37" s="420" t="s">
        <v>2086</v>
      </c>
      <c r="D37" s="1420" t="s">
        <v>2032</v>
      </c>
      <c r="E37" s="35" t="str">
        <f>E43</f>
        <v/>
      </c>
      <c r="F37" s="353" t="s">
        <v>2033</v>
      </c>
      <c r="G37" s="692"/>
    </row>
    <row r="38" spans="1:7" ht="15.75" thickBot="1" x14ac:dyDescent="0.3">
      <c r="A38" s="991" t="s">
        <v>2034</v>
      </c>
      <c r="B38" s="42" t="s">
        <v>229</v>
      </c>
      <c r="C38" s="386">
        <f>'Input Data'!$E$8</f>
        <v>0</v>
      </c>
      <c r="D38" s="3"/>
      <c r="E38" s="3"/>
      <c r="F38" s="272"/>
      <c r="G38" s="692"/>
    </row>
    <row r="39" spans="1:7" s="692" customFormat="1" ht="15.75" thickBot="1" x14ac:dyDescent="0.3">
      <c r="A39" s="1423"/>
      <c r="B39" s="1423"/>
      <c r="C39" s="1423"/>
      <c r="D39" s="1423"/>
      <c r="E39" s="1423"/>
      <c r="F39" s="1423"/>
    </row>
    <row r="40" spans="1:7" ht="15.75" thickBot="1" x14ac:dyDescent="0.3">
      <c r="A40" s="1423"/>
      <c r="B40" s="66" t="s">
        <v>459</v>
      </c>
      <c r="C40" s="116">
        <f>'Input Data'!E43</f>
        <v>0</v>
      </c>
      <c r="D40" s="66" t="s">
        <v>2035</v>
      </c>
      <c r="E40" s="1423"/>
      <c r="F40" s="1423"/>
      <c r="G40" s="692"/>
    </row>
    <row r="41" spans="1:7" ht="15.75" thickBot="1" x14ac:dyDescent="0.3">
      <c r="A41" s="1423"/>
      <c r="B41" s="66" t="s">
        <v>2036</v>
      </c>
      <c r="C41" s="689">
        <f>'Input Data'!E44+'Input Data'!E45</f>
        <v>0</v>
      </c>
      <c r="D41" s="66" t="s">
        <v>462</v>
      </c>
      <c r="E41" s="1423"/>
      <c r="F41" s="1423"/>
      <c r="G41" s="692"/>
    </row>
    <row r="42" spans="1:7" ht="16.5" customHeight="1" thickBot="1" x14ac:dyDescent="0.3">
      <c r="A42" s="1423"/>
      <c r="B42" s="1423"/>
      <c r="C42" s="1423"/>
      <c r="D42" s="1423"/>
      <c r="E42" s="1423"/>
      <c r="F42" s="1423"/>
      <c r="G42" s="692"/>
    </row>
    <row r="43" spans="1:7" ht="15.75" thickBot="1" x14ac:dyDescent="0.3">
      <c r="A43" s="871" t="s">
        <v>253</v>
      </c>
      <c r="B43" s="360" t="s">
        <v>254</v>
      </c>
      <c r="C43" s="393" t="e">
        <f>C40/C41*1000000</f>
        <v>#DIV/0!</v>
      </c>
      <c r="D43" s="361"/>
      <c r="E43" s="128" t="str">
        <f>IF(C40=0,"",IF(C43&lt;30,"COMPLIANT","NOT COMPLIANT"))</f>
        <v/>
      </c>
      <c r="F43" s="273"/>
      <c r="G43" s="692"/>
    </row>
    <row r="44" spans="1:7" ht="15.75" thickBot="1" x14ac:dyDescent="0.3">
      <c r="A44" s="692"/>
      <c r="B44" s="692"/>
      <c r="C44" s="568"/>
      <c r="D44" s="692"/>
      <c r="E44" s="692"/>
      <c r="F44" s="692"/>
      <c r="G44" s="692"/>
    </row>
    <row r="45" spans="1:7" s="692" customFormat="1" ht="15.75" thickBot="1" x14ac:dyDescent="0.3">
      <c r="A45" s="860" t="s">
        <v>255</v>
      </c>
      <c r="B45" s="19" t="s">
        <v>229</v>
      </c>
      <c r="C45" s="378" t="s">
        <v>232</v>
      </c>
      <c r="D45" s="19" t="s">
        <v>342</v>
      </c>
      <c r="E45" s="19" t="s">
        <v>1265</v>
      </c>
      <c r="F45" s="238" t="s">
        <v>344</v>
      </c>
    </row>
    <row r="46" spans="1:7" s="692" customFormat="1" ht="81.75" thickBot="1" x14ac:dyDescent="0.3">
      <c r="A46" s="6" t="s">
        <v>2037</v>
      </c>
      <c r="B46" s="286" t="s">
        <v>970</v>
      </c>
      <c r="C46" s="420">
        <v>100</v>
      </c>
      <c r="D46" s="1420" t="s">
        <v>210</v>
      </c>
      <c r="E46" s="35" t="str">
        <f>IF(C48=100,"COMPLIANT","NOT COMPLIANT")</f>
        <v>NOT COMPLIANT</v>
      </c>
      <c r="F46" s="353" t="s">
        <v>2038</v>
      </c>
    </row>
    <row r="47" spans="1:7" s="692" customFormat="1" ht="15.75" thickBot="1" x14ac:dyDescent="0.3">
      <c r="A47" s="991" t="s">
        <v>2039</v>
      </c>
      <c r="B47" s="42" t="s">
        <v>229</v>
      </c>
      <c r="C47" s="386">
        <f>'Input Data'!$E$8</f>
        <v>0</v>
      </c>
      <c r="D47" s="3"/>
      <c r="E47" s="3"/>
      <c r="F47" s="272"/>
    </row>
    <row r="48" spans="1:7" s="692" customFormat="1" ht="15.75" thickBot="1" x14ac:dyDescent="0.3">
      <c r="A48" s="871" t="s">
        <v>2040</v>
      </c>
      <c r="B48" s="360" t="s">
        <v>970</v>
      </c>
      <c r="C48" s="393">
        <f>'Input Data'!$E$47</f>
        <v>0</v>
      </c>
      <c r="D48" s="361" t="s">
        <v>210</v>
      </c>
      <c r="E48" s="128" t="str">
        <f>E46</f>
        <v>NOT COMPLIANT</v>
      </c>
      <c r="F48" s="273"/>
    </row>
    <row r="49" spans="1:7" s="709" customFormat="1" ht="12.95" customHeight="1" thickBot="1" x14ac:dyDescent="0.3">
      <c r="A49" s="34"/>
      <c r="B49" s="32"/>
      <c r="C49" s="994"/>
      <c r="D49" s="34"/>
      <c r="E49" s="34"/>
      <c r="F49" s="34"/>
      <c r="G49" s="14"/>
    </row>
    <row r="50" spans="1:7" s="709" customFormat="1" ht="12.95" customHeight="1" thickBot="1" x14ac:dyDescent="0.3">
      <c r="A50" s="860" t="s">
        <v>255</v>
      </c>
      <c r="B50" s="19" t="s">
        <v>229</v>
      </c>
      <c r="C50" s="378" t="s">
        <v>232</v>
      </c>
      <c r="D50" s="19" t="s">
        <v>342</v>
      </c>
      <c r="E50" s="19" t="s">
        <v>1265</v>
      </c>
      <c r="F50" s="238" t="s">
        <v>344</v>
      </c>
      <c r="G50" s="14"/>
    </row>
    <row r="51" spans="1:7" s="709" customFormat="1" ht="30.6" customHeight="1" thickBot="1" x14ac:dyDescent="0.3">
      <c r="A51" s="6" t="s">
        <v>2037</v>
      </c>
      <c r="B51" s="6" t="s">
        <v>2041</v>
      </c>
      <c r="C51" s="420" t="s">
        <v>2042</v>
      </c>
      <c r="D51" s="1422" t="s">
        <v>462</v>
      </c>
      <c r="E51" s="265" t="str">
        <f>IF(C54&gt;5, IF(AND(C55="Yes",C57&lt;=60, C56 &lt;12),"COMPLIANT","NOT COMPLIANT"),"")</f>
        <v/>
      </c>
      <c r="F51" s="286" t="s">
        <v>2043</v>
      </c>
      <c r="G51" s="14"/>
    </row>
    <row r="52" spans="1:7" s="709" customFormat="1" ht="12.95" customHeight="1" thickBot="1" x14ac:dyDescent="0.3">
      <c r="A52" s="991" t="s">
        <v>2044</v>
      </c>
      <c r="B52" s="42" t="s">
        <v>229</v>
      </c>
      <c r="C52" s="386">
        <f>'Input Data'!$E$8</f>
        <v>0</v>
      </c>
      <c r="D52" s="3"/>
      <c r="E52" s="3"/>
      <c r="F52" s="272"/>
      <c r="G52" s="14"/>
    </row>
    <row r="53" spans="1:7" s="709" customFormat="1" ht="12.95" customHeight="1" thickBot="1" x14ac:dyDescent="0.3">
      <c r="A53" s="38"/>
      <c r="B53" s="38"/>
      <c r="C53" s="38"/>
      <c r="D53" s="37"/>
      <c r="E53" s="37"/>
      <c r="F53" s="311"/>
      <c r="G53" s="14"/>
    </row>
    <row r="54" spans="1:7" s="709" customFormat="1" ht="12.95" customHeight="1" thickBot="1" x14ac:dyDescent="0.3">
      <c r="A54" s="38"/>
      <c r="B54" s="98" t="s">
        <v>351</v>
      </c>
      <c r="C54" s="341">
        <f>'Input Data'!E7</f>
        <v>0</v>
      </c>
      <c r="D54" s="37"/>
      <c r="E54" s="37"/>
      <c r="F54" s="311"/>
      <c r="G54" s="14"/>
    </row>
    <row r="55" spans="1:7" s="709" customFormat="1" ht="18.95" customHeight="1" thickBot="1" x14ac:dyDescent="0.3">
      <c r="A55" s="38"/>
      <c r="B55" s="98" t="s">
        <v>479</v>
      </c>
      <c r="C55" s="341" t="str">
        <f>'Input Data'!$E$50</f>
        <v>Yes</v>
      </c>
      <c r="D55" s="37"/>
      <c r="E55" s="38"/>
      <c r="F55" s="1233" t="s">
        <v>477</v>
      </c>
      <c r="G55" s="14"/>
    </row>
    <row r="56" spans="1:7" s="709" customFormat="1" ht="17.45" customHeight="1" thickBot="1" x14ac:dyDescent="0.3">
      <c r="A56" s="38"/>
      <c r="B56" s="98" t="s">
        <v>481</v>
      </c>
      <c r="C56" s="341">
        <f>'Input Data'!E51</f>
        <v>0</v>
      </c>
      <c r="D56" s="683" t="s">
        <v>462</v>
      </c>
      <c r="E56" s="38"/>
      <c r="F56" s="625"/>
      <c r="G56" s="14"/>
    </row>
    <row r="57" spans="1:7" s="709" customFormat="1" ht="12.95" customHeight="1" thickBot="1" x14ac:dyDescent="0.3">
      <c r="A57" s="38"/>
      <c r="B57" s="98" t="s">
        <v>483</v>
      </c>
      <c r="C57" s="341">
        <f>'Input Data'!E52</f>
        <v>0</v>
      </c>
      <c r="D57" s="683" t="s">
        <v>462</v>
      </c>
      <c r="E57" s="37"/>
      <c r="F57" s="1233" t="s">
        <v>484</v>
      </c>
      <c r="G57" s="14"/>
    </row>
    <row r="58" spans="1:7" s="709" customFormat="1" ht="12.95" customHeight="1" thickBot="1" x14ac:dyDescent="0.3">
      <c r="A58" s="38"/>
      <c r="B58" s="98"/>
      <c r="C58" s="98"/>
      <c r="D58" s="683"/>
      <c r="E58" s="37"/>
      <c r="F58" s="1233"/>
      <c r="G58" s="14"/>
    </row>
    <row r="59" spans="1:7" s="709" customFormat="1" ht="12.95" customHeight="1" thickBot="1" x14ac:dyDescent="0.3">
      <c r="A59" s="871" t="s">
        <v>321</v>
      </c>
      <c r="B59" s="360" t="s">
        <v>2041</v>
      </c>
      <c r="C59" s="1146">
        <f>C57</f>
        <v>0</v>
      </c>
      <c r="D59" s="361" t="str">
        <f>IF(C53="yes","%","hours")</f>
        <v>hours</v>
      </c>
      <c r="E59" s="128" t="str">
        <f>E51</f>
        <v/>
      </c>
      <c r="F59" s="273"/>
      <c r="G59" s="14"/>
    </row>
    <row r="60" spans="1:7" s="709" customFormat="1" ht="12.95" customHeight="1" thickBot="1" x14ac:dyDescent="0.3">
      <c r="A60" s="34"/>
      <c r="B60" s="32"/>
      <c r="C60" s="994"/>
      <c r="D60" s="34"/>
      <c r="E60" s="34"/>
      <c r="F60" s="34"/>
      <c r="G60" s="14"/>
    </row>
    <row r="61" spans="1:7" s="709" customFormat="1" ht="12.95" customHeight="1" thickBot="1" x14ac:dyDescent="0.3">
      <c r="A61" s="860" t="s">
        <v>255</v>
      </c>
      <c r="B61" s="19" t="s">
        <v>229</v>
      </c>
      <c r="C61" s="378" t="s">
        <v>232</v>
      </c>
      <c r="D61" s="19" t="s">
        <v>342</v>
      </c>
      <c r="E61" s="19" t="s">
        <v>1265</v>
      </c>
      <c r="F61" s="238" t="s">
        <v>344</v>
      </c>
      <c r="G61" s="14"/>
    </row>
    <row r="62" spans="1:7" s="709" customFormat="1" ht="36" customHeight="1" thickBot="1" x14ac:dyDescent="0.3">
      <c r="A62" s="6" t="s">
        <v>2037</v>
      </c>
      <c r="B62" s="6" t="s">
        <v>2045</v>
      </c>
      <c r="C62" s="420">
        <v>25</v>
      </c>
      <c r="D62" s="1420" t="s">
        <v>257</v>
      </c>
      <c r="E62" s="265" t="str">
        <f>E64</f>
        <v>NOT COMPLIANT</v>
      </c>
      <c r="F62" s="286" t="s">
        <v>2046</v>
      </c>
      <c r="G62" s="14"/>
    </row>
    <row r="63" spans="1:7" s="709" customFormat="1" ht="12.95" customHeight="1" thickBot="1" x14ac:dyDescent="0.3">
      <c r="A63" s="991" t="s">
        <v>2047</v>
      </c>
      <c r="B63" s="42" t="s">
        <v>229</v>
      </c>
      <c r="C63" s="386">
        <f>'Input Data'!$E$8</f>
        <v>0</v>
      </c>
      <c r="D63" s="3"/>
      <c r="E63" s="3"/>
      <c r="F63" s="272"/>
      <c r="G63" s="14"/>
    </row>
    <row r="64" spans="1:7" s="709" customFormat="1" ht="21.95" customHeight="1" thickBot="1" x14ac:dyDescent="0.3">
      <c r="A64" s="871" t="s">
        <v>322</v>
      </c>
      <c r="B64" s="130" t="s">
        <v>2045</v>
      </c>
      <c r="C64" s="341">
        <f>'Input Data'!$E$53</f>
        <v>0</v>
      </c>
      <c r="D64" s="361" t="s">
        <v>257</v>
      </c>
      <c r="E64" s="128" t="str">
        <f>IF(C64&gt;=C62,"COMPLIANT","NOT COMPLIANT")</f>
        <v>NOT COMPLIANT</v>
      </c>
      <c r="F64" s="273"/>
      <c r="G64" s="14"/>
    </row>
    <row r="65" spans="1:7" s="709" customFormat="1" ht="12.95" customHeight="1" thickBot="1" x14ac:dyDescent="0.3">
      <c r="A65" s="34"/>
      <c r="B65" s="32"/>
      <c r="C65" s="994"/>
      <c r="D65" s="34"/>
      <c r="E65" s="34"/>
      <c r="F65" s="34"/>
      <c r="G65" s="14"/>
    </row>
    <row r="66" spans="1:7" s="709" customFormat="1" ht="12.95" customHeight="1" thickBot="1" x14ac:dyDescent="0.3">
      <c r="A66" s="860" t="s">
        <v>255</v>
      </c>
      <c r="B66" s="19" t="s">
        <v>229</v>
      </c>
      <c r="C66" s="378" t="s">
        <v>232</v>
      </c>
      <c r="D66" s="19" t="s">
        <v>342</v>
      </c>
      <c r="E66" s="19" t="s">
        <v>1265</v>
      </c>
      <c r="F66" s="238" t="s">
        <v>344</v>
      </c>
      <c r="G66" s="14"/>
    </row>
    <row r="67" spans="1:7" s="709" customFormat="1" ht="30.95" customHeight="1" thickBot="1" x14ac:dyDescent="0.3">
      <c r="A67" s="6" t="s">
        <v>2037</v>
      </c>
      <c r="B67" s="286" t="s">
        <v>2054</v>
      </c>
      <c r="C67" s="420" t="s">
        <v>2049</v>
      </c>
      <c r="D67" s="1422" t="s">
        <v>2050</v>
      </c>
      <c r="E67" s="265" t="str">
        <f>E73</f>
        <v>NOT COMPLIANT</v>
      </c>
      <c r="F67" s="353" t="s">
        <v>2051</v>
      </c>
      <c r="G67" s="14"/>
    </row>
    <row r="68" spans="1:7" ht="15.6" customHeight="1" thickBot="1" x14ac:dyDescent="0.3">
      <c r="A68" s="991" t="s">
        <v>2052</v>
      </c>
      <c r="B68" s="42" t="s">
        <v>229</v>
      </c>
      <c r="C68" s="386">
        <f>'Input Data'!$E$8</f>
        <v>0</v>
      </c>
      <c r="D68" s="3"/>
      <c r="E68" s="3"/>
      <c r="F68" s="272"/>
      <c r="G68" s="692"/>
    </row>
    <row r="69" spans="1:7" ht="15.75" thickBot="1" x14ac:dyDescent="0.3">
      <c r="A69" s="38"/>
      <c r="B69" s="126"/>
      <c r="C69" s="389"/>
      <c r="D69" s="37"/>
      <c r="E69" s="37"/>
      <c r="F69" s="311"/>
      <c r="G69" s="692"/>
    </row>
    <row r="70" spans="1:7" ht="27.75" thickBot="1" x14ac:dyDescent="0.3">
      <c r="A70" s="38"/>
      <c r="B70" s="6" t="s">
        <v>491</v>
      </c>
      <c r="C70" s="416">
        <f>'Input Data'!$E$54</f>
        <v>0</v>
      </c>
      <c r="D70" s="679">
        <f>'Input Data'!E10</f>
        <v>0</v>
      </c>
      <c r="E70" s="37"/>
      <c r="F70" s="311"/>
      <c r="G70" s="692"/>
    </row>
    <row r="71" spans="1:7" ht="15.75" thickBot="1" x14ac:dyDescent="0.3">
      <c r="A71" s="38"/>
      <c r="B71" s="679" t="s">
        <v>493</v>
      </c>
      <c r="C71" s="416">
        <f>'Input Data'!$E$55</f>
        <v>0</v>
      </c>
      <c r="D71" s="679">
        <f>D70</f>
        <v>0</v>
      </c>
      <c r="E71" s="37"/>
      <c r="F71" s="311"/>
      <c r="G71" s="692"/>
    </row>
    <row r="72" spans="1:7" ht="15.75" thickBot="1" x14ac:dyDescent="0.3">
      <c r="A72" s="38"/>
      <c r="B72" s="126"/>
      <c r="C72" s="389"/>
      <c r="D72" s="37"/>
      <c r="E72" s="37"/>
      <c r="F72" s="311"/>
      <c r="G72" s="692"/>
    </row>
    <row r="73" spans="1:7" ht="27.6" customHeight="1" thickBot="1" x14ac:dyDescent="0.3">
      <c r="A73" s="871" t="s">
        <v>2053</v>
      </c>
      <c r="B73" s="274" t="s">
        <v>2054</v>
      </c>
      <c r="C73" s="416">
        <f>IF((C71=0), 0,C70/C71)</f>
        <v>0</v>
      </c>
      <c r="D73" s="128"/>
      <c r="E73" s="128" t="str">
        <f>IF(C73&gt;=1,"COMPLIANT","NOT COMPLIANT")</f>
        <v>NOT COMPLIANT</v>
      </c>
      <c r="F73" s="273"/>
      <c r="G73" s="692"/>
    </row>
    <row r="74" spans="1:7" ht="15.75" thickBot="1" x14ac:dyDescent="0.3">
      <c r="A74" s="32"/>
      <c r="B74" s="349"/>
      <c r="C74" s="999"/>
      <c r="D74" s="1000"/>
      <c r="E74" s="757"/>
      <c r="F74" s="1001"/>
      <c r="G74" s="692"/>
    </row>
    <row r="75" spans="1:7" ht="15.6" customHeight="1" thickBot="1" x14ac:dyDescent="0.3">
      <c r="A75" s="860" t="s">
        <v>255</v>
      </c>
      <c r="B75" s="19" t="s">
        <v>229</v>
      </c>
      <c r="C75" s="378" t="s">
        <v>232</v>
      </c>
      <c r="D75" s="19" t="s">
        <v>342</v>
      </c>
      <c r="E75" s="19" t="s">
        <v>1265</v>
      </c>
      <c r="F75" s="238" t="s">
        <v>344</v>
      </c>
      <c r="G75" s="692"/>
    </row>
    <row r="76" spans="1:7" ht="41.25" thickBot="1" x14ac:dyDescent="0.3">
      <c r="A76" s="6" t="s">
        <v>2037</v>
      </c>
      <c r="B76" s="286" t="s">
        <v>2055</v>
      </c>
      <c r="C76" s="420" t="s">
        <v>2049</v>
      </c>
      <c r="D76" s="1422" t="s">
        <v>2050</v>
      </c>
      <c r="E76" s="265" t="str">
        <f>E82</f>
        <v>NOT COMPLIANT</v>
      </c>
      <c r="F76" s="353" t="s">
        <v>2051</v>
      </c>
      <c r="G76" s="692"/>
    </row>
    <row r="77" spans="1:7" s="692" customFormat="1" ht="15.75" thickBot="1" x14ac:dyDescent="0.3">
      <c r="A77" s="991" t="s">
        <v>2056</v>
      </c>
      <c r="B77" s="42" t="s">
        <v>229</v>
      </c>
      <c r="C77" s="386">
        <f>'Input Data'!$E$8</f>
        <v>0</v>
      </c>
      <c r="D77" s="3"/>
      <c r="E77" s="3"/>
      <c r="F77" s="272"/>
    </row>
    <row r="78" spans="1:7" s="692" customFormat="1" ht="15.75" thickBot="1" x14ac:dyDescent="0.3">
      <c r="A78" s="38"/>
      <c r="B78" s="126"/>
      <c r="C78" s="389"/>
      <c r="D78" s="37"/>
      <c r="E78" s="37"/>
      <c r="F78" s="311"/>
    </row>
    <row r="79" spans="1:7" s="692" customFormat="1" ht="15.75" thickBot="1" x14ac:dyDescent="0.3">
      <c r="A79" s="38"/>
      <c r="B79" s="679" t="s">
        <v>496</v>
      </c>
      <c r="C79" s="416">
        <f>'Input Data'!$E$56</f>
        <v>0</v>
      </c>
      <c r="D79" s="679">
        <f>D80</f>
        <v>0</v>
      </c>
      <c r="E79" s="37"/>
      <c r="F79" s="311"/>
    </row>
    <row r="80" spans="1:7" ht="15.75" thickBot="1" x14ac:dyDescent="0.3">
      <c r="A80" s="38"/>
      <c r="B80" s="47" t="s">
        <v>2057</v>
      </c>
      <c r="C80" s="416">
        <f>'Input Data'!$E$55</f>
        <v>0</v>
      </c>
      <c r="D80" s="679">
        <f>'Input Data'!$E$10</f>
        <v>0</v>
      </c>
      <c r="E80" s="37"/>
      <c r="F80" s="311"/>
      <c r="G80" s="692"/>
    </row>
    <row r="81" spans="1:6" s="692" customFormat="1" ht="15.6" customHeight="1" thickBot="1" x14ac:dyDescent="0.3">
      <c r="A81" s="38"/>
      <c r="B81" s="126"/>
      <c r="C81" s="389"/>
      <c r="D81" s="37"/>
      <c r="E81" s="37"/>
      <c r="F81" s="311"/>
    </row>
    <row r="82" spans="1:6" s="692" customFormat="1" ht="21.6" customHeight="1" thickBot="1" x14ac:dyDescent="0.3">
      <c r="A82" s="871" t="s">
        <v>324</v>
      </c>
      <c r="B82" s="274" t="s">
        <v>2055</v>
      </c>
      <c r="C82" s="1207">
        <f>IFERROR((C79/C80), 0)</f>
        <v>0</v>
      </c>
      <c r="D82" s="128"/>
      <c r="E82" s="128" t="str">
        <f>IF(C82&gt;=1,"COMPLIANT","NOT COMPLIANT")</f>
        <v>NOT COMPLIANT</v>
      </c>
      <c r="F82" s="273"/>
    </row>
    <row r="83" spans="1:6" s="692" customFormat="1" ht="21.6" customHeight="1" thickBot="1" x14ac:dyDescent="0.35">
      <c r="A83" s="244"/>
      <c r="C83" s="567"/>
      <c r="D83" s="247"/>
      <c r="E83" s="188"/>
      <c r="F83" s="245"/>
    </row>
    <row r="84" spans="1:6" s="692" customFormat="1" ht="21.6" customHeight="1" thickBot="1" x14ac:dyDescent="0.3">
      <c r="A84" s="860" t="s">
        <v>255</v>
      </c>
      <c r="B84" s="19" t="s">
        <v>229</v>
      </c>
      <c r="C84" s="378" t="s">
        <v>232</v>
      </c>
      <c r="D84" s="19" t="s">
        <v>342</v>
      </c>
      <c r="E84" s="19" t="s">
        <v>1265</v>
      </c>
      <c r="F84" s="238" t="s">
        <v>344</v>
      </c>
    </row>
    <row r="85" spans="1:6" s="692" customFormat="1" ht="58.5" customHeight="1" thickBot="1" x14ac:dyDescent="0.3">
      <c r="A85" s="6" t="s">
        <v>2037</v>
      </c>
      <c r="B85" s="286" t="s">
        <v>2058</v>
      </c>
      <c r="C85" s="1205" t="s">
        <v>2059</v>
      </c>
      <c r="D85" s="1422" t="s">
        <v>210</v>
      </c>
      <c r="E85" s="265" t="str">
        <f>E95</f>
        <v/>
      </c>
      <c r="F85" s="353" t="s">
        <v>2051</v>
      </c>
    </row>
    <row r="86" spans="1:6" s="692" customFormat="1" ht="21.6" customHeight="1" thickBot="1" x14ac:dyDescent="0.3">
      <c r="A86" s="991" t="s">
        <v>2060</v>
      </c>
      <c r="B86" s="42" t="s">
        <v>229</v>
      </c>
      <c r="C86" s="386">
        <f>'Input Data'!$E$8</f>
        <v>0</v>
      </c>
      <c r="D86" s="3"/>
      <c r="E86" s="3"/>
      <c r="F86" s="272"/>
    </row>
    <row r="87" spans="1:6" s="692" customFormat="1" ht="21.6" customHeight="1" thickBot="1" x14ac:dyDescent="0.3">
      <c r="A87" s="38"/>
      <c r="B87" s="39" t="s">
        <v>351</v>
      </c>
      <c r="C87" s="416">
        <f>'Input Data'!$E$7</f>
        <v>0</v>
      </c>
      <c r="D87" s="37"/>
      <c r="E87" s="1248"/>
      <c r="F87" s="311"/>
    </row>
    <row r="88" spans="1:6" s="692" customFormat="1" ht="21.6" customHeight="1" thickBot="1" x14ac:dyDescent="0.3">
      <c r="A88" s="38"/>
      <c r="B88" s="39" t="s">
        <v>2061</v>
      </c>
      <c r="C88" s="416">
        <f>'Input Data'!E54</f>
        <v>0</v>
      </c>
      <c r="D88" s="679">
        <f>'Input Data'!$E$10</f>
        <v>0</v>
      </c>
      <c r="E88" s="37"/>
      <c r="F88" s="311"/>
    </row>
    <row r="89" spans="1:6" s="692" customFormat="1" ht="21.6" customHeight="1" thickBot="1" x14ac:dyDescent="0.3">
      <c r="A89" s="38"/>
      <c r="B89" s="1144" t="s">
        <v>499</v>
      </c>
      <c r="C89" s="416">
        <f>'Input Data'!E57</f>
        <v>0</v>
      </c>
      <c r="D89" s="679">
        <f>'Input Data'!$E$10</f>
        <v>0</v>
      </c>
      <c r="E89" s="37"/>
      <c r="F89" s="311"/>
    </row>
    <row r="90" spans="1:6" s="692" customFormat="1" ht="21.6" customHeight="1" thickBot="1" x14ac:dyDescent="0.3">
      <c r="A90" s="38"/>
      <c r="B90" s="47" t="s">
        <v>501</v>
      </c>
      <c r="C90" s="416">
        <f>'Input Data'!$E$58</f>
        <v>0</v>
      </c>
      <c r="D90" s="679">
        <f>'Input Data'!$E$10</f>
        <v>0</v>
      </c>
      <c r="E90" s="1236"/>
      <c r="F90" s="311"/>
    </row>
    <row r="91" spans="1:6" s="692" customFormat="1" ht="35.450000000000003" customHeight="1" thickBot="1" x14ac:dyDescent="0.3">
      <c r="A91" s="38"/>
      <c r="B91" s="6" t="s">
        <v>2062</v>
      </c>
      <c r="C91" s="416">
        <f>C90-C89</f>
        <v>0</v>
      </c>
      <c r="D91" s="679">
        <f>D90</f>
        <v>0</v>
      </c>
      <c r="E91" s="1235"/>
      <c r="F91" s="311"/>
    </row>
    <row r="92" spans="1:6" s="692" customFormat="1" ht="21.6" customHeight="1" thickBot="1" x14ac:dyDescent="0.3">
      <c r="A92" s="38"/>
      <c r="B92" s="6" t="s">
        <v>2063</v>
      </c>
      <c r="C92" s="416">
        <f>C90-C88</f>
        <v>0</v>
      </c>
      <c r="D92" s="679">
        <f>D91</f>
        <v>0</v>
      </c>
      <c r="E92" s="1236"/>
      <c r="F92" s="311"/>
    </row>
    <row r="93" spans="1:6" s="692" customFormat="1" ht="21.6" customHeight="1" x14ac:dyDescent="0.25">
      <c r="A93" s="38"/>
      <c r="B93" s="6" t="s">
        <v>2064</v>
      </c>
      <c r="C93" s="1421" t="e">
        <f>-(C92-C91)/C91*100</f>
        <v>#DIV/0!</v>
      </c>
      <c r="D93" s="679" t="s">
        <v>210</v>
      </c>
      <c r="E93" s="1235"/>
      <c r="F93" s="311"/>
    </row>
    <row r="94" spans="1:6" s="692" customFormat="1" ht="21.6" customHeight="1" thickBot="1" x14ac:dyDescent="0.3">
      <c r="A94" s="38"/>
      <c r="B94" s="6" t="s">
        <v>2065</v>
      </c>
      <c r="C94" s="1421">
        <f>IF(C87&lt;=1, 0, QUOTIENT(C87+1,3))</f>
        <v>0</v>
      </c>
      <c r="D94" s="679" t="s">
        <v>2066</v>
      </c>
      <c r="E94" s="1237"/>
      <c r="F94" s="311"/>
    </row>
    <row r="95" spans="1:6" s="692" customFormat="1" ht="21.6" customHeight="1" thickBot="1" x14ac:dyDescent="0.3">
      <c r="A95" s="871" t="s">
        <v>325</v>
      </c>
      <c r="B95" s="274" t="s">
        <v>2058</v>
      </c>
      <c r="C95" s="416" t="str">
        <f>IF(C94=0, "", C93)</f>
        <v/>
      </c>
      <c r="D95" s="128" t="s">
        <v>210</v>
      </c>
      <c r="E95" s="128" t="str">
        <f>IF(C94=0,"",IF(OR(AND(C94=1,C93&gt;=5),AND(C94=2,C93&gt;=10),AND(C94=3,C93&gt;=15),AND(C94=4,C93&gt;=20),AND(C94=5,C93&gt;=25), AND(C94=6,C93&gt;=30), AND(C94=7,C93&gt;=35)),"COMPLIANT","NOT COMPLIANT"))</f>
        <v/>
      </c>
      <c r="F95" s="273"/>
    </row>
    <row r="96" spans="1:6" s="692" customFormat="1" ht="21.6" customHeight="1" thickBot="1" x14ac:dyDescent="0.35">
      <c r="A96" s="244"/>
      <c r="C96" s="567"/>
      <c r="D96" s="247"/>
      <c r="E96" s="188"/>
      <c r="F96" s="245"/>
    </row>
    <row r="97" spans="1:6" s="692" customFormat="1" ht="21.6" customHeight="1" thickBot="1" x14ac:dyDescent="0.3">
      <c r="A97" s="860" t="s">
        <v>260</v>
      </c>
      <c r="B97" s="19" t="s">
        <v>229</v>
      </c>
      <c r="C97" s="19" t="s">
        <v>232</v>
      </c>
      <c r="D97" s="19" t="s">
        <v>342</v>
      </c>
      <c r="E97" s="19" t="s">
        <v>1265</v>
      </c>
      <c r="F97" s="270" t="s">
        <v>344</v>
      </c>
    </row>
    <row r="98" spans="1:6" s="692" customFormat="1" ht="21.6" customHeight="1" thickBot="1" x14ac:dyDescent="0.3">
      <c r="A98" s="6" t="s">
        <v>2067</v>
      </c>
      <c r="B98" s="36" t="s">
        <v>259</v>
      </c>
      <c r="C98" s="764" t="s">
        <v>399</v>
      </c>
      <c r="D98" s="1423" t="s">
        <v>400</v>
      </c>
      <c r="E98" s="35" t="str">
        <f>IF(C100="Yes","COMPLIANT","NOT COMPLIANT")</f>
        <v>COMPLIANT</v>
      </c>
      <c r="F98" s="271" t="s">
        <v>1283</v>
      </c>
    </row>
    <row r="99" spans="1:6" s="692" customFormat="1" ht="21.6" customHeight="1" thickBot="1" x14ac:dyDescent="0.3">
      <c r="A99" s="991" t="s">
        <v>2068</v>
      </c>
      <c r="B99" s="268" t="s">
        <v>229</v>
      </c>
      <c r="C99" s="763">
        <f>'[1]Input Data'!$E$7</f>
        <v>43556</v>
      </c>
      <c r="D99" s="3"/>
      <c r="E99" s="3"/>
      <c r="F99" s="272"/>
    </row>
    <row r="100" spans="1:6" s="692" customFormat="1" ht="21.6" customHeight="1" thickBot="1" x14ac:dyDescent="0.3">
      <c r="A100" s="871" t="s">
        <v>258</v>
      </c>
      <c r="B100" s="274" t="s">
        <v>259</v>
      </c>
      <c r="C100" s="766" t="str">
        <f>'Input Data'!$E$59</f>
        <v>Yes</v>
      </c>
      <c r="D100" s="128"/>
      <c r="E100" s="128" t="str">
        <f>E98</f>
        <v>COMPLIANT</v>
      </c>
      <c r="F100" s="273"/>
    </row>
    <row r="101" spans="1:6" s="692" customFormat="1" ht="21.6" customHeight="1" thickBot="1" x14ac:dyDescent="0.35">
      <c r="A101" s="244"/>
      <c r="C101" s="567"/>
      <c r="D101" s="247"/>
      <c r="E101" s="188"/>
      <c r="F101" s="245"/>
    </row>
    <row r="102" spans="1:6" s="692" customFormat="1" ht="21.6" customHeight="1" thickBot="1" x14ac:dyDescent="0.3">
      <c r="A102" s="860" t="s">
        <v>260</v>
      </c>
      <c r="B102" s="19" t="s">
        <v>229</v>
      </c>
      <c r="C102" s="19" t="s">
        <v>232</v>
      </c>
      <c r="D102" s="19" t="s">
        <v>342</v>
      </c>
      <c r="E102" s="19" t="s">
        <v>1265</v>
      </c>
      <c r="F102" s="270" t="s">
        <v>344</v>
      </c>
    </row>
    <row r="103" spans="1:6" s="692" customFormat="1" ht="21.6" customHeight="1" thickBot="1" x14ac:dyDescent="0.3">
      <c r="A103" s="6" t="s">
        <v>2067</v>
      </c>
      <c r="B103" s="36" t="s">
        <v>262</v>
      </c>
      <c r="C103" s="764" t="s">
        <v>399</v>
      </c>
      <c r="D103" s="1423" t="s">
        <v>400</v>
      </c>
      <c r="E103" s="35" t="str">
        <f>IF(C105="Yes","COMPLIANT","NOT COMPLIANT")</f>
        <v>COMPLIANT</v>
      </c>
      <c r="F103" s="271" t="s">
        <v>1283</v>
      </c>
    </row>
    <row r="104" spans="1:6" s="692" customFormat="1" ht="21.6" customHeight="1" thickBot="1" x14ac:dyDescent="0.3">
      <c r="A104" s="991" t="s">
        <v>2069</v>
      </c>
      <c r="B104" s="268" t="s">
        <v>229</v>
      </c>
      <c r="C104" s="763">
        <f>'[1]Input Data'!$E$7</f>
        <v>43556</v>
      </c>
      <c r="D104" s="3"/>
      <c r="E104" s="3"/>
      <c r="F104" s="272"/>
    </row>
    <row r="105" spans="1:6" s="692" customFormat="1" ht="21.6" customHeight="1" thickBot="1" x14ac:dyDescent="0.3">
      <c r="A105" s="871" t="s">
        <v>261</v>
      </c>
      <c r="B105" s="274" t="s">
        <v>262</v>
      </c>
      <c r="C105" s="766" t="str">
        <f>'Input Data'!$E$60</f>
        <v>Yes</v>
      </c>
      <c r="D105" s="128"/>
      <c r="E105" s="128" t="str">
        <f>E103</f>
        <v>COMPLIANT</v>
      </c>
      <c r="F105" s="273"/>
    </row>
    <row r="106" spans="1:6" s="692" customFormat="1" ht="21.6" customHeight="1" thickBot="1" x14ac:dyDescent="0.35">
      <c r="A106" s="244"/>
      <c r="C106" s="567"/>
      <c r="D106" s="247"/>
      <c r="E106" s="188"/>
      <c r="F106" s="245"/>
    </row>
    <row r="107" spans="1:6" s="692" customFormat="1" ht="21.6" customHeight="1" thickBot="1" x14ac:dyDescent="0.3">
      <c r="A107" s="860" t="s">
        <v>260</v>
      </c>
      <c r="B107" s="19" t="s">
        <v>229</v>
      </c>
      <c r="C107" s="19" t="s">
        <v>232</v>
      </c>
      <c r="D107" s="19" t="s">
        <v>342</v>
      </c>
      <c r="E107" s="19" t="s">
        <v>1265</v>
      </c>
      <c r="F107" s="270" t="s">
        <v>344</v>
      </c>
    </row>
    <row r="108" spans="1:6" s="692" customFormat="1" ht="21.6" customHeight="1" thickBot="1" x14ac:dyDescent="0.3">
      <c r="A108" s="6" t="s">
        <v>2067</v>
      </c>
      <c r="B108" s="36" t="s">
        <v>2070</v>
      </c>
      <c r="C108" s="764" t="s">
        <v>399</v>
      </c>
      <c r="D108" s="1423" t="s">
        <v>400</v>
      </c>
      <c r="E108" s="35" t="str">
        <f>IF(C110="Yes","COMPLIANT","NOT COMPLIANT")</f>
        <v>COMPLIANT</v>
      </c>
      <c r="F108" s="271" t="s">
        <v>2071</v>
      </c>
    </row>
    <row r="109" spans="1:6" s="692" customFormat="1" ht="21.6" customHeight="1" thickBot="1" x14ac:dyDescent="0.3">
      <c r="A109" s="991" t="s">
        <v>2072</v>
      </c>
      <c r="B109" s="268" t="s">
        <v>229</v>
      </c>
      <c r="C109" s="763">
        <f>'[1]Input Data'!$E$7</f>
        <v>43556</v>
      </c>
      <c r="D109" s="3"/>
      <c r="E109" s="3"/>
      <c r="F109" s="272"/>
    </row>
    <row r="110" spans="1:6" s="692" customFormat="1" ht="21.6" customHeight="1" thickBot="1" x14ac:dyDescent="0.3">
      <c r="A110" s="871" t="s">
        <v>263</v>
      </c>
      <c r="B110" s="274" t="s">
        <v>2070</v>
      </c>
      <c r="C110" s="766" t="str">
        <f>'Input Data'!$E$61</f>
        <v>Yes</v>
      </c>
      <c r="D110" s="128"/>
      <c r="E110" s="128" t="str">
        <f>E108</f>
        <v>COMPLIANT</v>
      </c>
      <c r="F110" s="273"/>
    </row>
    <row r="111" spans="1:6" s="692" customFormat="1" ht="21.6" customHeight="1" thickBot="1" x14ac:dyDescent="0.35">
      <c r="A111" s="244"/>
      <c r="C111" s="567"/>
      <c r="D111" s="247"/>
      <c r="E111" s="188"/>
      <c r="F111" s="245"/>
    </row>
    <row r="112" spans="1:6" s="692" customFormat="1" ht="21.6" customHeight="1" thickBot="1" x14ac:dyDescent="0.3">
      <c r="A112" s="860" t="s">
        <v>260</v>
      </c>
      <c r="B112" s="19" t="s">
        <v>229</v>
      </c>
      <c r="C112" s="19" t="s">
        <v>232</v>
      </c>
      <c r="D112" s="19" t="s">
        <v>342</v>
      </c>
      <c r="E112" s="19" t="s">
        <v>1265</v>
      </c>
      <c r="F112" s="238" t="s">
        <v>344</v>
      </c>
    </row>
    <row r="113" spans="1:6" s="692" customFormat="1" ht="21.6" customHeight="1" thickBot="1" x14ac:dyDescent="0.3">
      <c r="A113" s="6" t="s">
        <v>2067</v>
      </c>
      <c r="B113" s="286" t="s">
        <v>2073</v>
      </c>
      <c r="C113" s="355" t="s">
        <v>2074</v>
      </c>
      <c r="D113" s="1422" t="s">
        <v>2075</v>
      </c>
      <c r="E113" s="265" t="str">
        <f>IF(OR(C119&gt;=18, AND(C119&lt;18,C119&gt;=16, C116 = "Yes")),"COMPLIANT","NON COMPLIANT")</f>
        <v>NON COMPLIANT</v>
      </c>
      <c r="F113" s="762"/>
    </row>
    <row r="114" spans="1:6" s="692" customFormat="1" ht="21.6" customHeight="1" thickBot="1" x14ac:dyDescent="0.3">
      <c r="A114" s="991" t="s">
        <v>2076</v>
      </c>
      <c r="B114" s="765" t="s">
        <v>229</v>
      </c>
      <c r="C114" s="763">
        <f>'Input Data'!$E$8</f>
        <v>0</v>
      </c>
      <c r="D114" s="3"/>
      <c r="E114" s="3"/>
      <c r="F114" s="272"/>
    </row>
    <row r="115" spans="1:6" s="692" customFormat="1" ht="15.95" customHeight="1" thickBot="1" x14ac:dyDescent="0.3">
      <c r="A115" s="38"/>
      <c r="B115" s="1423"/>
      <c r="C115" s="74"/>
      <c r="D115" s="37"/>
      <c r="E115" s="1237"/>
      <c r="F115" s="311"/>
    </row>
    <row r="116" spans="1:6" s="692" customFormat="1" ht="15.95" customHeight="1" thickBot="1" x14ac:dyDescent="0.3">
      <c r="A116" s="38"/>
      <c r="B116" s="1423" t="s">
        <v>988</v>
      </c>
      <c r="C116" s="766" t="str">
        <f>'Input Data'!E62</f>
        <v>Yes</v>
      </c>
      <c r="D116" s="37"/>
      <c r="E116" s="1237"/>
      <c r="F116" s="311"/>
    </row>
    <row r="117" spans="1:6" s="692" customFormat="1" ht="18" customHeight="1" thickBot="1" x14ac:dyDescent="0.3">
      <c r="A117" s="38"/>
      <c r="B117" s="679" t="s">
        <v>514</v>
      </c>
      <c r="C117" s="766">
        <f>'Input Data'!E63</f>
        <v>0</v>
      </c>
      <c r="D117" s="679" t="s">
        <v>515</v>
      </c>
      <c r="E117" s="37"/>
      <c r="F117" s="311"/>
    </row>
    <row r="118" spans="1:6" s="692" customFormat="1" ht="14.1" customHeight="1" thickBot="1" x14ac:dyDescent="0.3">
      <c r="A118" s="38"/>
      <c r="B118" s="1423"/>
      <c r="C118" s="74"/>
      <c r="D118" s="37"/>
      <c r="E118" s="37"/>
      <c r="F118" s="311"/>
    </row>
    <row r="119" spans="1:6" s="692" customFormat="1" ht="21.6" customHeight="1" thickBot="1" x14ac:dyDescent="0.3">
      <c r="A119" s="1005" t="s">
        <v>265</v>
      </c>
      <c r="B119" s="357" t="s">
        <v>2073</v>
      </c>
      <c r="C119" s="15">
        <f>C117</f>
        <v>0</v>
      </c>
      <c r="D119" s="358" t="s">
        <v>515</v>
      </c>
      <c r="E119" s="1004" t="str">
        <f>E113</f>
        <v>NON COMPLIANT</v>
      </c>
      <c r="F119" s="359"/>
    </row>
    <row r="120" spans="1:6" s="709" customFormat="1" ht="21.6" customHeight="1" thickBot="1" x14ac:dyDescent="0.3">
      <c r="A120" s="11"/>
      <c r="B120" s="12"/>
      <c r="C120" s="753"/>
      <c r="D120" s="11"/>
      <c r="E120" s="11"/>
      <c r="F120" s="11"/>
    </row>
    <row r="121" spans="1:6" s="709" customFormat="1" ht="21.6" customHeight="1" thickBot="1" x14ac:dyDescent="0.3">
      <c r="A121" s="181" t="s">
        <v>260</v>
      </c>
      <c r="B121" s="19" t="s">
        <v>229</v>
      </c>
      <c r="C121" s="19" t="s">
        <v>232</v>
      </c>
      <c r="D121" s="19" t="s">
        <v>342</v>
      </c>
      <c r="E121" s="19" t="s">
        <v>1265</v>
      </c>
      <c r="F121" s="270" t="s">
        <v>344</v>
      </c>
    </row>
    <row r="122" spans="1:6" s="709" customFormat="1" ht="21.6" customHeight="1" thickBot="1" x14ac:dyDescent="0.3">
      <c r="A122" s="6" t="s">
        <v>2067</v>
      </c>
      <c r="B122" s="36" t="s">
        <v>268</v>
      </c>
      <c r="C122" s="764">
        <v>100</v>
      </c>
      <c r="D122" s="1423" t="s">
        <v>210</v>
      </c>
      <c r="E122" s="35" t="str">
        <f>IF(C127=100,"COMPLIANT","NOT COMPLIANT")</f>
        <v>NOT COMPLIANT</v>
      </c>
      <c r="F122" s="271" t="s">
        <v>2071</v>
      </c>
    </row>
    <row r="123" spans="1:6" s="709" customFormat="1" ht="21.6" customHeight="1" thickBot="1" x14ac:dyDescent="0.3">
      <c r="A123" s="1209" t="s">
        <v>2077</v>
      </c>
      <c r="B123" s="268" t="s">
        <v>229</v>
      </c>
      <c r="C123" s="763">
        <f>'[1]Input Data'!$E$7</f>
        <v>43556</v>
      </c>
      <c r="D123" s="3"/>
      <c r="E123" s="3"/>
      <c r="F123" s="272"/>
    </row>
    <row r="124" spans="1:6" s="709" customFormat="1" ht="21.6" customHeight="1" thickBot="1" x14ac:dyDescent="0.3">
      <c r="A124" s="174"/>
      <c r="B124" s="39" t="s">
        <v>518</v>
      </c>
      <c r="C124" s="766">
        <f>IF(ISBLANK('Input Data'!$E$64), "", 'Input Data'!$E$64)</f>
        <v>0</v>
      </c>
      <c r="D124" s="37"/>
      <c r="E124" s="37"/>
      <c r="F124" s="311"/>
    </row>
    <row r="125" spans="1:6" s="709" customFormat="1" ht="21.6" customHeight="1" thickBot="1" x14ac:dyDescent="0.3">
      <c r="A125" s="174"/>
      <c r="B125" s="39" t="s">
        <v>520</v>
      </c>
      <c r="C125" s="766">
        <f>IF(ISBLANK('Input Data'!$E$65), "", 'Input Data'!$E$65)</f>
        <v>0</v>
      </c>
      <c r="D125" s="37"/>
      <c r="E125" s="37"/>
      <c r="F125" s="311"/>
    </row>
    <row r="126" spans="1:6" s="709" customFormat="1" ht="21.6" customHeight="1" thickBot="1" x14ac:dyDescent="0.3">
      <c r="A126" s="174"/>
      <c r="B126" s="126"/>
      <c r="C126" s="1143"/>
      <c r="D126" s="37"/>
      <c r="E126" s="37"/>
      <c r="F126" s="311"/>
    </row>
    <row r="127" spans="1:6" s="709" customFormat="1" ht="21.6" customHeight="1" thickBot="1" x14ac:dyDescent="0.3">
      <c r="A127" s="1208" t="s">
        <v>267</v>
      </c>
      <c r="B127" s="274" t="s">
        <v>268</v>
      </c>
      <c r="C127" s="766" t="str">
        <f>IFERROR(C125/C124*100, "")</f>
        <v/>
      </c>
      <c r="D127" s="128" t="s">
        <v>210</v>
      </c>
      <c r="E127" s="128" t="str">
        <f>E122</f>
        <v>NOT COMPLIANT</v>
      </c>
      <c r="F127" s="273"/>
    </row>
    <row r="128" spans="1:6" s="709" customFormat="1" ht="21.6" customHeight="1" thickBot="1" x14ac:dyDescent="0.3">
      <c r="A128" s="34"/>
      <c r="B128" s="32"/>
      <c r="C128" s="998"/>
      <c r="D128" s="34"/>
      <c r="E128" s="757"/>
      <c r="F128" s="34"/>
    </row>
    <row r="129" spans="1:6" s="709" customFormat="1" ht="21.6" customHeight="1" thickBot="1" x14ac:dyDescent="0.3">
      <c r="A129" s="860" t="s">
        <v>271</v>
      </c>
      <c r="B129" s="19" t="s">
        <v>229</v>
      </c>
      <c r="C129" s="378" t="s">
        <v>232</v>
      </c>
      <c r="D129" s="19" t="s">
        <v>342</v>
      </c>
      <c r="E129" s="19" t="s">
        <v>1265</v>
      </c>
      <c r="F129" s="270" t="s">
        <v>344</v>
      </c>
    </row>
    <row r="130" spans="1:6" s="709" customFormat="1" ht="21.6" customHeight="1" thickBot="1" x14ac:dyDescent="0.3">
      <c r="A130" s="6" t="s">
        <v>1282</v>
      </c>
      <c r="B130" s="260" t="s">
        <v>270</v>
      </c>
      <c r="C130" s="417" t="s">
        <v>399</v>
      </c>
      <c r="D130" s="126" t="s">
        <v>400</v>
      </c>
      <c r="E130" s="122" t="str">
        <f>IF(C132="Yes","COMPLIANT","NOT COMPLIANT")</f>
        <v>COMPLIANT</v>
      </c>
      <c r="F130" s="354" t="s">
        <v>1283</v>
      </c>
    </row>
    <row r="131" spans="1:6" s="692" customFormat="1" ht="21.6" customHeight="1" thickBot="1" x14ac:dyDescent="0.3">
      <c r="A131" s="866" t="s">
        <v>2082</v>
      </c>
      <c r="B131" s="268" t="s">
        <v>229</v>
      </c>
      <c r="C131" s="386">
        <f>'Input Data'!$E$8</f>
        <v>0</v>
      </c>
      <c r="D131" s="3"/>
      <c r="E131" s="3"/>
      <c r="F131" s="272"/>
    </row>
    <row r="132" spans="1:6" s="692" customFormat="1" ht="27.95" customHeight="1" thickBot="1" x14ac:dyDescent="0.3">
      <c r="A132" s="871" t="s">
        <v>269</v>
      </c>
      <c r="B132" s="274" t="s">
        <v>270</v>
      </c>
      <c r="C132" s="416" t="str">
        <f>'Input Data'!$E$66</f>
        <v>Yes</v>
      </c>
      <c r="D132" s="128"/>
      <c r="E132" s="128" t="str">
        <f>E130</f>
        <v>COMPLIANT</v>
      </c>
      <c r="F132" s="273"/>
    </row>
    <row r="133" spans="1:6" s="692" customFormat="1" ht="21.6" customHeight="1" thickBot="1" x14ac:dyDescent="0.35">
      <c r="A133" s="244"/>
      <c r="C133" s="567"/>
      <c r="D133" s="247"/>
      <c r="E133" s="188"/>
      <c r="F133" s="245"/>
    </row>
    <row r="134" spans="1:6" s="692" customFormat="1" ht="21.6" customHeight="1" thickBot="1" x14ac:dyDescent="0.3">
      <c r="A134" s="860" t="s">
        <v>271</v>
      </c>
      <c r="B134" s="19" t="s">
        <v>229</v>
      </c>
      <c r="C134" s="378" t="s">
        <v>232</v>
      </c>
      <c r="D134" s="19" t="s">
        <v>342</v>
      </c>
      <c r="E134" s="19" t="s">
        <v>1265</v>
      </c>
      <c r="F134" s="270" t="s">
        <v>344</v>
      </c>
    </row>
    <row r="135" spans="1:6" s="692" customFormat="1" ht="33" customHeight="1" thickBot="1" x14ac:dyDescent="0.3">
      <c r="A135" s="6" t="s">
        <v>1282</v>
      </c>
      <c r="B135" s="260" t="s">
        <v>273</v>
      </c>
      <c r="C135" s="417" t="s">
        <v>399</v>
      </c>
      <c r="D135" s="126" t="s">
        <v>400</v>
      </c>
      <c r="E135" s="122" t="str">
        <f>IF(C137="Yes","COMPLIANT","NOT COMPLIANT")</f>
        <v>COMPLIANT</v>
      </c>
      <c r="F135" s="354" t="s">
        <v>1283</v>
      </c>
    </row>
    <row r="136" spans="1:6" s="692" customFormat="1" ht="21.6" customHeight="1" thickBot="1" x14ac:dyDescent="0.3">
      <c r="A136" s="866" t="s">
        <v>2083</v>
      </c>
      <c r="B136" s="268" t="s">
        <v>229</v>
      </c>
      <c r="C136" s="386">
        <f>'Input Data'!$E$8</f>
        <v>0</v>
      </c>
      <c r="D136" s="3"/>
      <c r="E136" s="3"/>
      <c r="F136" s="272"/>
    </row>
    <row r="137" spans="1:6" s="692" customFormat="1" ht="21.6" customHeight="1" thickBot="1" x14ac:dyDescent="0.3">
      <c r="A137" s="871" t="s">
        <v>272</v>
      </c>
      <c r="B137" s="274" t="s">
        <v>526</v>
      </c>
      <c r="C137" s="416" t="str">
        <f>IF(ISBLANK('Input Data'!$E$67), "", 'Input Data'!$E$67)</f>
        <v>Yes</v>
      </c>
      <c r="D137" s="128"/>
      <c r="E137" s="128" t="str">
        <f>E135</f>
        <v>COMPLIANT</v>
      </c>
      <c r="F137" s="273"/>
    </row>
    <row r="138" spans="1:6" s="692" customFormat="1" ht="21.6" customHeight="1" thickBot="1" x14ac:dyDescent="0.3">
      <c r="A138" s="997"/>
      <c r="B138" s="72"/>
      <c r="C138" s="72"/>
      <c r="D138" s="72"/>
      <c r="E138" s="72"/>
      <c r="F138" s="998"/>
    </row>
    <row r="139" spans="1:6" s="692" customFormat="1" ht="21.6" customHeight="1" thickBot="1" x14ac:dyDescent="0.3">
      <c r="A139" s="181" t="s">
        <v>271</v>
      </c>
      <c r="B139" s="19" t="s">
        <v>229</v>
      </c>
      <c r="C139" s="378" t="s">
        <v>232</v>
      </c>
      <c r="D139" s="19" t="s">
        <v>342</v>
      </c>
      <c r="E139" s="19" t="s">
        <v>1265</v>
      </c>
      <c r="F139" s="270" t="s">
        <v>344</v>
      </c>
    </row>
    <row r="140" spans="1:6" s="692" customFormat="1" ht="21.6" customHeight="1" thickBot="1" x14ac:dyDescent="0.3">
      <c r="A140" s="6" t="s">
        <v>1282</v>
      </c>
      <c r="B140" s="260" t="s">
        <v>275</v>
      </c>
      <c r="C140" s="417" t="s">
        <v>399</v>
      </c>
      <c r="D140" s="126" t="s">
        <v>400</v>
      </c>
      <c r="E140" s="122" t="str">
        <f>IF(C142="Yes","COMPLIANT","NOT COMPLIANT")</f>
        <v>COMPLIANT</v>
      </c>
      <c r="F140" s="354" t="s">
        <v>1283</v>
      </c>
    </row>
    <row r="141" spans="1:6" s="692" customFormat="1" ht="21.6" customHeight="1" thickBot="1" x14ac:dyDescent="0.3">
      <c r="A141" s="1322" t="s">
        <v>1284</v>
      </c>
      <c r="B141" s="268" t="s">
        <v>229</v>
      </c>
      <c r="C141" s="386">
        <f>'Input Data'!$E$8</f>
        <v>0</v>
      </c>
      <c r="D141" s="3"/>
      <c r="E141" s="3"/>
      <c r="F141" s="272"/>
    </row>
    <row r="142" spans="1:6" s="692" customFormat="1" ht="21.6" customHeight="1" thickBot="1" x14ac:dyDescent="0.3">
      <c r="A142" s="1208" t="s">
        <v>274</v>
      </c>
      <c r="B142" s="274" t="s">
        <v>529</v>
      </c>
      <c r="C142" s="416" t="str">
        <f>IF(ISBLANK('Input Data'!$E$68), "", 'Input Data'!$E$68)</f>
        <v>Yes</v>
      </c>
      <c r="D142" s="128"/>
      <c r="E142" s="128" t="str">
        <f>E140</f>
        <v>COMPLIANT</v>
      </c>
      <c r="F142" s="273"/>
    </row>
    <row r="143" spans="1:6" s="692" customFormat="1" ht="21.6" customHeight="1" x14ac:dyDescent="0.25">
      <c r="A143" s="997"/>
      <c r="B143" s="72"/>
      <c r="C143" s="72"/>
      <c r="D143" s="72"/>
      <c r="E143" s="72"/>
      <c r="F143" s="998"/>
    </row>
    <row r="144" spans="1:6" s="692" customFormat="1" ht="21.6" customHeight="1" x14ac:dyDescent="0.3">
      <c r="A144" s="4" t="s">
        <v>201</v>
      </c>
      <c r="C144" s="21"/>
      <c r="F144" s="631"/>
    </row>
    <row r="145" spans="1:6" s="692" customFormat="1" ht="21.6" customHeight="1" x14ac:dyDescent="0.3">
      <c r="A145" s="4" t="s">
        <v>202</v>
      </c>
      <c r="C145" s="21"/>
      <c r="F145" s="631"/>
    </row>
    <row r="146" spans="1:6" s="692" customFormat="1" ht="21.6" customHeight="1" x14ac:dyDescent="0.25">
      <c r="C146" s="21"/>
      <c r="F146" s="631"/>
    </row>
    <row r="147" spans="1:6" s="692" customFormat="1" ht="21.6" customHeight="1" x14ac:dyDescent="0.25">
      <c r="C147" s="21"/>
      <c r="F147" s="631"/>
    </row>
    <row r="148" spans="1:6" s="692" customFormat="1" ht="21.6" customHeight="1" x14ac:dyDescent="0.25">
      <c r="C148" s="21"/>
      <c r="F148" s="631"/>
    </row>
    <row r="149" spans="1:6" s="692" customFormat="1" ht="21.6" customHeight="1" x14ac:dyDescent="0.25">
      <c r="C149" s="21"/>
      <c r="F149" s="631"/>
    </row>
    <row r="150" spans="1:6" s="692" customFormat="1" ht="26.1" customHeight="1" x14ac:dyDescent="0.25">
      <c r="C150" s="21"/>
      <c r="F150" s="631"/>
    </row>
    <row r="151" spans="1:6" x14ac:dyDescent="0.25">
      <c r="A151" s="692"/>
      <c r="B151" s="692"/>
      <c r="D151" s="692"/>
      <c r="E151" s="692"/>
      <c r="F151" s="631"/>
    </row>
    <row r="152" spans="1:6" x14ac:dyDescent="0.25">
      <c r="A152" s="692"/>
      <c r="B152" s="692"/>
      <c r="D152" s="692"/>
      <c r="E152" s="692"/>
      <c r="F152" s="34"/>
    </row>
    <row r="153" spans="1:6" x14ac:dyDescent="0.25">
      <c r="A153" s="692"/>
      <c r="B153" s="692"/>
      <c r="D153" s="692"/>
      <c r="E153" s="692"/>
      <c r="F153" s="34"/>
    </row>
    <row r="154" spans="1:6" x14ac:dyDescent="0.25">
      <c r="A154" s="692"/>
      <c r="B154" s="692"/>
      <c r="D154" s="692"/>
      <c r="E154" s="692"/>
      <c r="F154" s="34"/>
    </row>
    <row r="155" spans="1:6" ht="63" customHeight="1" x14ac:dyDescent="0.25">
      <c r="A155" s="692"/>
      <c r="B155" s="692"/>
      <c r="D155" s="692"/>
      <c r="E155" s="692"/>
      <c r="F155" s="34"/>
    </row>
    <row r="156" spans="1:6" x14ac:dyDescent="0.25">
      <c r="A156" s="692"/>
      <c r="B156" s="692"/>
      <c r="D156" s="692"/>
      <c r="E156" s="692"/>
      <c r="F156" s="631"/>
    </row>
    <row r="157" spans="1:6" ht="108.75" customHeight="1" x14ac:dyDescent="0.25">
      <c r="A157" s="692"/>
      <c r="B157" s="692"/>
      <c r="D157" s="692"/>
      <c r="E157" s="692"/>
      <c r="F157" s="34"/>
    </row>
    <row r="158" spans="1:6" ht="15.75" x14ac:dyDescent="0.3">
      <c r="A158" s="692"/>
      <c r="B158" s="692"/>
      <c r="D158" s="692"/>
      <c r="E158" s="692"/>
      <c r="F158" s="245"/>
    </row>
    <row r="160" spans="1:6" ht="62.25" customHeight="1" x14ac:dyDescent="0.25">
      <c r="A160" s="692"/>
      <c r="B160" s="692"/>
      <c r="D160" s="692"/>
      <c r="E160" s="692"/>
      <c r="F160" s="692"/>
    </row>
    <row r="161" spans="6:6" x14ac:dyDescent="0.25">
      <c r="F161" s="692"/>
    </row>
    <row r="165" spans="6:6" ht="63" customHeight="1" x14ac:dyDescent="0.25">
      <c r="F165" s="692"/>
    </row>
    <row r="170" spans="6:6" ht="63" customHeight="1" x14ac:dyDescent="0.25">
      <c r="F170" s="692"/>
    </row>
    <row r="173" spans="6:6" x14ac:dyDescent="0.25">
      <c r="F173" s="692"/>
    </row>
    <row r="174" spans="6:6" x14ac:dyDescent="0.25">
      <c r="F174" s="692"/>
    </row>
    <row r="175" spans="6:6" x14ac:dyDescent="0.25">
      <c r="F175" s="692"/>
    </row>
    <row r="178" ht="30.75" customHeight="1" x14ac:dyDescent="0.25"/>
    <row r="179" ht="30.75" customHeight="1" x14ac:dyDescent="0.25"/>
    <row r="180" ht="30.75" customHeight="1" x14ac:dyDescent="0.25"/>
    <row r="181" ht="58.5" customHeight="1" x14ac:dyDescent="0.25"/>
    <row r="182" ht="30.75" customHeight="1" x14ac:dyDescent="0.25"/>
    <row r="184" ht="30.75" customHeight="1" x14ac:dyDescent="0.25"/>
    <row r="186" ht="17.25" customHeight="1" x14ac:dyDescent="0.25"/>
    <row r="187" ht="30.75" customHeight="1" x14ac:dyDescent="0.25"/>
    <row r="188" ht="30.75" customHeight="1" x14ac:dyDescent="0.25"/>
    <row r="189" ht="41.25" customHeight="1" x14ac:dyDescent="0.25"/>
    <row r="190" ht="15.75" customHeight="1" x14ac:dyDescent="0.25"/>
    <row r="191" ht="30.75" customHeight="1" x14ac:dyDescent="0.25"/>
  </sheetData>
  <phoneticPr fontId="58" type="noConversion"/>
  <pageMargins left="0.7" right="0.7" top="0.75" bottom="0.75" header="0.3" footer="0.3"/>
  <pageSetup paperSize="9" orientation="portrait"/>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G84"/>
  <sheetViews>
    <sheetView showGridLines="0" topLeftCell="A41" workbookViewId="0">
      <selection activeCell="C52" sqref="C52"/>
    </sheetView>
  </sheetViews>
  <sheetFormatPr defaultColWidth="8.85546875" defaultRowHeight="15" x14ac:dyDescent="0.25"/>
  <cols>
    <col min="1" max="1" width="34.28515625" customWidth="1"/>
    <col min="2" max="2" width="51" customWidth="1"/>
    <col min="3" max="3" width="15.42578125" style="21" customWidth="1"/>
    <col min="4" max="4" width="14.85546875" customWidth="1"/>
    <col min="5" max="5" width="15.140625" customWidth="1"/>
    <col min="6" max="6" width="48.140625" customWidth="1"/>
  </cols>
  <sheetData>
    <row r="1" spans="1:6" s="727" customFormat="1" ht="66" customHeight="1" thickBot="1" x14ac:dyDescent="0.3">
      <c r="A1" s="726" t="s">
        <v>2087</v>
      </c>
      <c r="B1" s="730" t="s">
        <v>2088</v>
      </c>
      <c r="C1" s="21"/>
    </row>
    <row r="2" spans="1:6" s="727" customFormat="1" ht="14.45" customHeight="1" thickBot="1" x14ac:dyDescent="0.3">
      <c r="A2" s="18" t="s">
        <v>1264</v>
      </c>
      <c r="B2" s="19" t="s">
        <v>229</v>
      </c>
      <c r="C2" s="19" t="s">
        <v>232</v>
      </c>
      <c r="D2" s="19" t="s">
        <v>342</v>
      </c>
      <c r="E2" s="19" t="s">
        <v>1265</v>
      </c>
      <c r="F2" s="238" t="s">
        <v>344</v>
      </c>
    </row>
    <row r="3" spans="1:6" s="727" customFormat="1" ht="26.1" customHeight="1" thickBot="1" x14ac:dyDescent="0.3">
      <c r="A3" s="6" t="s">
        <v>1266</v>
      </c>
      <c r="B3" s="286" t="s">
        <v>398</v>
      </c>
      <c r="C3" s="266" t="s">
        <v>399</v>
      </c>
      <c r="D3" s="1422" t="s">
        <v>400</v>
      </c>
      <c r="E3" s="265" t="str">
        <f>IF(C5="Yes","COMPLIANT","NOT COMPLIANT")</f>
        <v>COMPLIANT</v>
      </c>
      <c r="F3" s="353"/>
    </row>
    <row r="4" spans="1:6" s="727" customFormat="1" ht="14.45" customHeight="1" thickBot="1" x14ac:dyDescent="0.3">
      <c r="A4" s="2" t="s">
        <v>1267</v>
      </c>
      <c r="B4" s="42" t="s">
        <v>229</v>
      </c>
      <c r="C4" s="386">
        <f>'Input Data'!$E$8</f>
        <v>0</v>
      </c>
      <c r="D4" s="3"/>
      <c r="E4" s="3"/>
      <c r="F4" s="272"/>
    </row>
    <row r="5" spans="1:6" s="727" customFormat="1" ht="19.5" customHeight="1" thickBot="1" x14ac:dyDescent="0.3">
      <c r="A5" s="130" t="s">
        <v>1268</v>
      </c>
      <c r="B5" s="131" t="s">
        <v>398</v>
      </c>
      <c r="C5" s="416" t="str">
        <f>'Input Data'!E226</f>
        <v>Yes</v>
      </c>
      <c r="D5" s="128"/>
      <c r="E5" s="128" t="str">
        <f>E3</f>
        <v>COMPLIANT</v>
      </c>
      <c r="F5" s="273"/>
    </row>
    <row r="6" spans="1:6" ht="16.5" thickBot="1" x14ac:dyDescent="0.35">
      <c r="A6" s="244"/>
      <c r="B6" s="692"/>
      <c r="C6" s="567"/>
      <c r="D6" s="247"/>
      <c r="E6" s="188"/>
      <c r="F6" s="245"/>
    </row>
    <row r="7" spans="1:6" ht="37.5" customHeight="1" thickBot="1" x14ac:dyDescent="0.3">
      <c r="A7" s="18" t="s">
        <v>238</v>
      </c>
      <c r="B7" s="19" t="s">
        <v>229</v>
      </c>
      <c r="C7" s="378" t="s">
        <v>232</v>
      </c>
      <c r="D7" s="19" t="s">
        <v>342</v>
      </c>
      <c r="E7" s="19" t="s">
        <v>1265</v>
      </c>
      <c r="F7" s="270" t="s">
        <v>344</v>
      </c>
    </row>
    <row r="8" spans="1:6" ht="68.25" thickBot="1" x14ac:dyDescent="0.3">
      <c r="A8" s="6" t="s">
        <v>1270</v>
      </c>
      <c r="B8" s="260" t="s">
        <v>2089</v>
      </c>
      <c r="C8" s="415" t="s">
        <v>399</v>
      </c>
      <c r="D8" s="126" t="s">
        <v>400</v>
      </c>
      <c r="E8" s="122" t="str">
        <f>IF(C10="Yes","COMPLIANT","NOT COMPLIANT")</f>
        <v>COMPLIANT</v>
      </c>
      <c r="F8" s="354" t="s">
        <v>1294</v>
      </c>
    </row>
    <row r="9" spans="1:6" ht="31.5" customHeight="1" thickBot="1" x14ac:dyDescent="0.3">
      <c r="A9" s="267" t="s">
        <v>2090</v>
      </c>
      <c r="B9" s="268" t="s">
        <v>229</v>
      </c>
      <c r="C9" s="386">
        <f>'Input Data'!$E$8</f>
        <v>0</v>
      </c>
      <c r="D9" s="3"/>
      <c r="E9" s="3"/>
      <c r="F9" s="272"/>
    </row>
    <row r="10" spans="1:6" ht="19.5" customHeight="1" thickBot="1" x14ac:dyDescent="0.3">
      <c r="A10" s="130" t="s">
        <v>2091</v>
      </c>
      <c r="B10" s="1127" t="s">
        <v>403</v>
      </c>
      <c r="C10" s="416" t="str">
        <f>'Input Data'!E227</f>
        <v>Yes</v>
      </c>
      <c r="D10" s="128"/>
      <c r="E10" s="128" t="str">
        <f>E8</f>
        <v>COMPLIANT</v>
      </c>
      <c r="F10" s="273"/>
    </row>
    <row r="11" spans="1:6" ht="16.5" thickBot="1" x14ac:dyDescent="0.35">
      <c r="A11" s="244"/>
      <c r="B11" s="692"/>
      <c r="D11" s="692"/>
      <c r="E11" s="692"/>
      <c r="F11" s="245"/>
    </row>
    <row r="12" spans="1:6" s="692" customFormat="1" ht="15.75" thickBot="1" x14ac:dyDescent="0.3">
      <c r="A12" s="18" t="s">
        <v>1269</v>
      </c>
      <c r="B12" s="19" t="s">
        <v>229</v>
      </c>
      <c r="C12" s="378" t="s">
        <v>232</v>
      </c>
      <c r="D12" s="19" t="s">
        <v>342</v>
      </c>
      <c r="E12" s="19" t="s">
        <v>1265</v>
      </c>
      <c r="F12" s="270" t="s">
        <v>344</v>
      </c>
    </row>
    <row r="13" spans="1:6" s="692" customFormat="1" ht="27.75" thickBot="1" x14ac:dyDescent="0.3">
      <c r="A13" s="6" t="s">
        <v>1270</v>
      </c>
      <c r="B13" s="260" t="s">
        <v>406</v>
      </c>
      <c r="C13" s="415" t="s">
        <v>399</v>
      </c>
      <c r="D13" s="126" t="s">
        <v>400</v>
      </c>
      <c r="E13" s="122" t="str">
        <f>IF(C15="Yes","COMPLIANT","NOT COMPLIANT")</f>
        <v>COMPLIANT</v>
      </c>
      <c r="F13" s="353"/>
    </row>
    <row r="14" spans="1:6" s="692" customFormat="1" ht="15.75" thickBot="1" x14ac:dyDescent="0.3">
      <c r="A14" s="267" t="s">
        <v>1271</v>
      </c>
      <c r="B14" s="268" t="s">
        <v>229</v>
      </c>
      <c r="C14" s="386">
        <f>'Input Data'!$E$8</f>
        <v>0</v>
      </c>
      <c r="D14" s="3"/>
      <c r="E14" s="3"/>
      <c r="F14" s="272"/>
    </row>
    <row r="15" spans="1:6" s="692" customFormat="1" ht="15.75" thickBot="1" x14ac:dyDescent="0.3">
      <c r="A15" s="130" t="s">
        <v>2092</v>
      </c>
      <c r="B15" s="274" t="s">
        <v>406</v>
      </c>
      <c r="C15" s="116" t="str">
        <f>'Input Data'!E228</f>
        <v>Yes</v>
      </c>
      <c r="D15" s="128"/>
      <c r="E15" s="128" t="str">
        <f>E13</f>
        <v>COMPLIANT</v>
      </c>
      <c r="F15" s="273"/>
    </row>
    <row r="16" spans="1:6" s="692" customFormat="1" ht="16.5" thickBot="1" x14ac:dyDescent="0.35">
      <c r="A16" s="244"/>
      <c r="C16" s="21"/>
      <c r="F16" s="245"/>
    </row>
    <row r="17" spans="1:6" s="692" customFormat="1" ht="15.75" thickBot="1" x14ac:dyDescent="0.3">
      <c r="A17" s="18" t="s">
        <v>1273</v>
      </c>
      <c r="B17" s="19" t="s">
        <v>229</v>
      </c>
      <c r="C17" s="19" t="s">
        <v>232</v>
      </c>
      <c r="D17" s="19" t="s">
        <v>342</v>
      </c>
      <c r="E17" s="19" t="s">
        <v>1265</v>
      </c>
      <c r="F17" s="238" t="s">
        <v>344</v>
      </c>
    </row>
    <row r="18" spans="1:6" s="692" customFormat="1" ht="27.75" thickBot="1" x14ac:dyDescent="0.3">
      <c r="A18" s="6" t="s">
        <v>1274</v>
      </c>
      <c r="B18" s="286" t="s">
        <v>1275</v>
      </c>
      <c r="C18" s="266" t="s">
        <v>399</v>
      </c>
      <c r="D18" s="1422" t="s">
        <v>400</v>
      </c>
      <c r="E18" s="265" t="str">
        <f>IF(C20="Yes","COMPLIANT","NOT COMPLIANT")</f>
        <v>COMPLIANT</v>
      </c>
      <c r="F18" s="353"/>
    </row>
    <row r="19" spans="1:6" s="692" customFormat="1" ht="15.75" thickBot="1" x14ac:dyDescent="0.3">
      <c r="A19" s="2" t="s">
        <v>1276</v>
      </c>
      <c r="B19" s="42" t="s">
        <v>229</v>
      </c>
      <c r="C19" s="386"/>
      <c r="D19" s="3"/>
      <c r="E19" s="3"/>
      <c r="F19" s="272"/>
    </row>
    <row r="20" spans="1:6" s="692" customFormat="1" ht="15.75" thickBot="1" x14ac:dyDescent="0.3">
      <c r="A20" s="130" t="s">
        <v>2093</v>
      </c>
      <c r="B20" s="131" t="s">
        <v>409</v>
      </c>
      <c r="C20" s="416" t="str">
        <f>'Input Data'!E229</f>
        <v>Yes</v>
      </c>
      <c r="D20" s="128"/>
      <c r="E20" s="128" t="str">
        <f>E18</f>
        <v>COMPLIANT</v>
      </c>
      <c r="F20" s="273"/>
    </row>
    <row r="21" spans="1:6" s="692" customFormat="1" ht="16.5" thickBot="1" x14ac:dyDescent="0.35">
      <c r="A21" s="244"/>
      <c r="C21" s="21"/>
      <c r="F21" s="245"/>
    </row>
    <row r="22" spans="1:6" ht="15.75" thickBot="1" x14ac:dyDescent="0.3">
      <c r="A22" s="18" t="s">
        <v>239</v>
      </c>
      <c r="B22" s="19" t="s">
        <v>229</v>
      </c>
      <c r="C22" s="19" t="s">
        <v>232</v>
      </c>
      <c r="D22" s="19" t="s">
        <v>342</v>
      </c>
      <c r="E22" s="19" t="s">
        <v>1265</v>
      </c>
      <c r="F22" s="238" t="s">
        <v>344</v>
      </c>
    </row>
    <row r="23" spans="1:6" ht="43.5" customHeight="1" thickBot="1" x14ac:dyDescent="0.3">
      <c r="A23" s="6" t="s">
        <v>1274</v>
      </c>
      <c r="B23" s="286" t="s">
        <v>2094</v>
      </c>
      <c r="C23" s="266" t="s">
        <v>399</v>
      </c>
      <c r="D23" s="1422" t="s">
        <v>400</v>
      </c>
      <c r="E23" s="265" t="str">
        <f>IF(C25="Yes","COMPLIANT","NOT COMPLIANT")</f>
        <v>COMPLIANT</v>
      </c>
      <c r="F23" s="353"/>
    </row>
    <row r="24" spans="1:6" ht="15" customHeight="1" thickBot="1" x14ac:dyDescent="0.3">
      <c r="A24" s="267" t="s">
        <v>2095</v>
      </c>
      <c r="B24" s="268" t="s">
        <v>229</v>
      </c>
      <c r="C24" s="386">
        <f>'Input Data'!$E$8</f>
        <v>0</v>
      </c>
      <c r="D24" s="3"/>
      <c r="E24" s="3"/>
      <c r="F24" s="272"/>
    </row>
    <row r="25" spans="1:6" ht="15.75" thickBot="1" x14ac:dyDescent="0.3">
      <c r="A25" s="130" t="s">
        <v>2096</v>
      </c>
      <c r="B25" s="274" t="s">
        <v>412</v>
      </c>
      <c r="C25" s="116" t="str">
        <f>'Input Data'!E230</f>
        <v>Yes</v>
      </c>
      <c r="D25" s="128"/>
      <c r="E25" s="128" t="str">
        <f>E23</f>
        <v>COMPLIANT</v>
      </c>
      <c r="F25" s="273"/>
    </row>
    <row r="26" spans="1:6" ht="15.75" thickBot="1" x14ac:dyDescent="0.3">
      <c r="A26" s="34"/>
      <c r="B26" s="1131"/>
      <c r="C26" s="1132"/>
      <c r="D26" s="34"/>
      <c r="E26" s="34"/>
      <c r="F26" s="34"/>
    </row>
    <row r="27" spans="1:6" ht="15.75" thickBot="1" x14ac:dyDescent="0.3">
      <c r="A27" s="18" t="s">
        <v>239</v>
      </c>
      <c r="B27" s="19" t="s">
        <v>229</v>
      </c>
      <c r="C27" s="19" t="s">
        <v>232</v>
      </c>
      <c r="D27" s="19" t="s">
        <v>342</v>
      </c>
      <c r="E27" s="19" t="s">
        <v>1265</v>
      </c>
      <c r="F27" s="238" t="s">
        <v>344</v>
      </c>
    </row>
    <row r="28" spans="1:6" ht="27.75" thickBot="1" x14ac:dyDescent="0.3">
      <c r="A28" s="6" t="s">
        <v>1274</v>
      </c>
      <c r="B28" s="286" t="s">
        <v>2097</v>
      </c>
      <c r="C28" s="266" t="s">
        <v>399</v>
      </c>
      <c r="D28" s="1422" t="s">
        <v>400</v>
      </c>
      <c r="E28" s="265" t="str">
        <f>IF(C30="Yes","COMPLIANT","NOT COMPLIANT")</f>
        <v>COMPLIANT</v>
      </c>
      <c r="F28" s="353"/>
    </row>
    <row r="29" spans="1:6" ht="15.75" thickBot="1" x14ac:dyDescent="0.3">
      <c r="A29" s="2" t="s">
        <v>2098</v>
      </c>
      <c r="B29" s="42" t="s">
        <v>229</v>
      </c>
      <c r="C29" s="386"/>
      <c r="D29" s="3"/>
      <c r="E29" s="3"/>
      <c r="F29" s="272"/>
    </row>
    <row r="30" spans="1:6" s="692" customFormat="1" ht="27.75" thickBot="1" x14ac:dyDescent="0.3">
      <c r="A30" s="130" t="s">
        <v>2099</v>
      </c>
      <c r="B30" s="131" t="s">
        <v>415</v>
      </c>
      <c r="C30" s="416" t="str">
        <f>'Input Data'!E231</f>
        <v>Yes</v>
      </c>
      <c r="D30" s="128"/>
      <c r="E30" s="128" t="str">
        <f>E28</f>
        <v>COMPLIANT</v>
      </c>
      <c r="F30" s="273"/>
    </row>
    <row r="31" spans="1:6" s="692" customFormat="1" ht="15.75" thickBot="1" x14ac:dyDescent="0.3">
      <c r="A31" s="34"/>
      <c r="B31" s="1131"/>
      <c r="C31" s="1132"/>
      <c r="D31" s="34"/>
      <c r="E31" s="34"/>
      <c r="F31" s="34"/>
    </row>
    <row r="32" spans="1:6" s="692" customFormat="1" ht="15.75" thickBot="1" x14ac:dyDescent="0.3">
      <c r="A32" s="18" t="s">
        <v>239</v>
      </c>
      <c r="B32" s="19" t="s">
        <v>229</v>
      </c>
      <c r="C32" s="19" t="s">
        <v>232</v>
      </c>
      <c r="D32" s="19" t="s">
        <v>342</v>
      </c>
      <c r="E32" s="19" t="s">
        <v>1265</v>
      </c>
      <c r="F32" s="238" t="s">
        <v>344</v>
      </c>
    </row>
    <row r="33" spans="1:6" s="692" customFormat="1" ht="27.75" thickBot="1" x14ac:dyDescent="0.3">
      <c r="A33" s="6" t="s">
        <v>1274</v>
      </c>
      <c r="B33" s="286" t="s">
        <v>2100</v>
      </c>
      <c r="C33" s="266" t="s">
        <v>399</v>
      </c>
      <c r="D33" s="1422" t="s">
        <v>400</v>
      </c>
      <c r="E33" s="265" t="str">
        <f>IF(C35="Yes","COMPLIANT","NOT COMPLIANT")</f>
        <v>COMPLIANT</v>
      </c>
      <c r="F33" s="353"/>
    </row>
    <row r="34" spans="1:6" s="692" customFormat="1" ht="15.75" thickBot="1" x14ac:dyDescent="0.3">
      <c r="A34" s="2" t="s">
        <v>2101</v>
      </c>
      <c r="B34" s="42" t="s">
        <v>229</v>
      </c>
      <c r="C34" s="386"/>
      <c r="D34" s="3"/>
      <c r="E34" s="3"/>
      <c r="F34" s="272"/>
    </row>
    <row r="35" spans="1:6" s="692" customFormat="1" ht="27.75" thickBot="1" x14ac:dyDescent="0.3">
      <c r="A35" s="130" t="s">
        <v>2102</v>
      </c>
      <c r="B35" s="131" t="s">
        <v>418</v>
      </c>
      <c r="C35" s="416" t="str">
        <f>'Input Data'!E232</f>
        <v>Yes</v>
      </c>
      <c r="D35" s="128"/>
      <c r="E35" s="128" t="str">
        <f>E33</f>
        <v>COMPLIANT</v>
      </c>
      <c r="F35" s="273"/>
    </row>
    <row r="36" spans="1:6" s="692" customFormat="1" ht="15.75" thickBot="1" x14ac:dyDescent="0.3">
      <c r="A36" s="34"/>
      <c r="B36" s="1131"/>
      <c r="C36" s="1132"/>
      <c r="D36" s="34"/>
      <c r="E36" s="34"/>
      <c r="F36" s="34"/>
    </row>
    <row r="37" spans="1:6" ht="15.75" thickBot="1" x14ac:dyDescent="0.3">
      <c r="A37" s="18" t="s">
        <v>239</v>
      </c>
      <c r="B37" s="19" t="s">
        <v>229</v>
      </c>
      <c r="C37" s="19" t="s">
        <v>232</v>
      </c>
      <c r="D37" s="19" t="s">
        <v>342</v>
      </c>
      <c r="E37" s="19" t="s">
        <v>1265</v>
      </c>
      <c r="F37" s="238" t="s">
        <v>344</v>
      </c>
    </row>
    <row r="38" spans="1:6" ht="27.75" thickBot="1" x14ac:dyDescent="0.3">
      <c r="A38" s="6" t="s">
        <v>1274</v>
      </c>
      <c r="B38" s="286" t="s">
        <v>947</v>
      </c>
      <c r="C38" s="266" t="s">
        <v>399</v>
      </c>
      <c r="D38" s="1422" t="s">
        <v>400</v>
      </c>
      <c r="E38" s="265" t="str">
        <f>IF(C40="Yes","COMPLIANT","NOT COMPLIANT")</f>
        <v>COMPLIANT</v>
      </c>
      <c r="F38" s="353"/>
    </row>
    <row r="39" spans="1:6" s="692" customFormat="1" ht="15.75" thickBot="1" x14ac:dyDescent="0.3">
      <c r="A39" s="2" t="s">
        <v>2103</v>
      </c>
      <c r="B39" s="42" t="s">
        <v>229</v>
      </c>
      <c r="C39" s="386"/>
      <c r="D39" s="3"/>
      <c r="E39" s="3"/>
      <c r="F39" s="272"/>
    </row>
    <row r="40" spans="1:6" s="692" customFormat="1" ht="27.75" thickBot="1" x14ac:dyDescent="0.3">
      <c r="A40" s="130" t="s">
        <v>2104</v>
      </c>
      <c r="B40" s="131" t="s">
        <v>947</v>
      </c>
      <c r="C40" s="416" t="str">
        <f>'Input Data'!E233</f>
        <v>Yes</v>
      </c>
      <c r="D40" s="128"/>
      <c r="E40" s="128" t="str">
        <f>E38</f>
        <v>COMPLIANT</v>
      </c>
      <c r="F40" s="273"/>
    </row>
    <row r="41" spans="1:6" s="692" customFormat="1" ht="15.75" thickBot="1" x14ac:dyDescent="0.3">
      <c r="A41" s="34"/>
      <c r="B41" s="1131"/>
      <c r="C41" s="1132"/>
      <c r="D41" s="34"/>
      <c r="E41" s="34"/>
      <c r="F41" s="34"/>
    </row>
    <row r="42" spans="1:6" s="692" customFormat="1" ht="15.75" thickBot="1" x14ac:dyDescent="0.3">
      <c r="A42" s="18" t="s">
        <v>239</v>
      </c>
      <c r="B42" s="19" t="s">
        <v>229</v>
      </c>
      <c r="C42" s="19" t="s">
        <v>232</v>
      </c>
      <c r="D42" s="19" t="s">
        <v>342</v>
      </c>
      <c r="E42" s="19" t="s">
        <v>1265</v>
      </c>
      <c r="F42" s="238" t="s">
        <v>344</v>
      </c>
    </row>
    <row r="43" spans="1:6" s="692" customFormat="1" ht="27.75" thickBot="1" x14ac:dyDescent="0.3">
      <c r="A43" s="6" t="s">
        <v>2105</v>
      </c>
      <c r="B43" s="286" t="s">
        <v>2106</v>
      </c>
      <c r="C43" s="266" t="s">
        <v>399</v>
      </c>
      <c r="D43" s="1422" t="s">
        <v>400</v>
      </c>
      <c r="E43" s="265" t="str">
        <f>IF(C45="Yes","COMPLIANT","NOT COMPLIANT")</f>
        <v>COMPLIANT</v>
      </c>
      <c r="F43" s="762"/>
    </row>
    <row r="44" spans="1:6" s="692" customFormat="1" ht="15.75" thickBot="1" x14ac:dyDescent="0.3">
      <c r="A44" s="2" t="s">
        <v>2107</v>
      </c>
      <c r="B44" s="765" t="s">
        <v>229</v>
      </c>
      <c r="C44" s="763"/>
      <c r="D44" s="3"/>
      <c r="E44" s="3"/>
      <c r="F44" s="272"/>
    </row>
    <row r="45" spans="1:6" s="692" customFormat="1" ht="15.75" thickBot="1" x14ac:dyDescent="0.3">
      <c r="A45" s="130" t="s">
        <v>2108</v>
      </c>
      <c r="B45" s="131" t="s">
        <v>2106</v>
      </c>
      <c r="C45" s="766" t="str">
        <f>'Input Data'!E234</f>
        <v>Yes</v>
      </c>
      <c r="D45" s="128"/>
      <c r="E45" s="128" t="str">
        <f>E43</f>
        <v>COMPLIANT</v>
      </c>
      <c r="F45" s="273"/>
    </row>
    <row r="46" spans="1:6" s="692" customFormat="1" ht="15.75" thickBot="1" x14ac:dyDescent="0.3"/>
    <row r="47" spans="1:6" s="692" customFormat="1" ht="15.75" thickBot="1" x14ac:dyDescent="0.3">
      <c r="A47" s="18" t="s">
        <v>241</v>
      </c>
      <c r="B47" s="19" t="s">
        <v>229</v>
      </c>
      <c r="C47" s="19" t="s">
        <v>232</v>
      </c>
      <c r="D47" s="19" t="s">
        <v>342</v>
      </c>
      <c r="E47" s="19" t="s">
        <v>1265</v>
      </c>
      <c r="F47" s="238" t="s">
        <v>344</v>
      </c>
    </row>
    <row r="48" spans="1:6" s="692" customFormat="1" ht="27.75" thickBot="1" x14ac:dyDescent="0.3">
      <c r="A48" s="6" t="s">
        <v>1278</v>
      </c>
      <c r="B48" s="286" t="s">
        <v>1279</v>
      </c>
      <c r="C48" s="266" t="s">
        <v>399</v>
      </c>
      <c r="D48" s="1422" t="s">
        <v>400</v>
      </c>
      <c r="E48" s="265" t="str">
        <f>IF(C52="Yes","COMPLIANT","NOT COMPLIANT")</f>
        <v>COMPLIANT</v>
      </c>
      <c r="F48" s="353"/>
    </row>
    <row r="49" spans="1:6" s="692" customFormat="1" ht="15.75" thickBot="1" x14ac:dyDescent="0.3">
      <c r="A49" s="2" t="s">
        <v>2109</v>
      </c>
      <c r="B49" s="42" t="s">
        <v>229</v>
      </c>
      <c r="C49" s="386"/>
      <c r="D49" s="3"/>
      <c r="E49" s="3"/>
      <c r="F49" s="272"/>
    </row>
    <row r="50" spans="1:6" s="692" customFormat="1" x14ac:dyDescent="0.25">
      <c r="A50" s="38"/>
      <c r="B50" s="126" t="s">
        <v>952</v>
      </c>
      <c r="C50" s="1330" t="str">
        <f>'Input Data'!E235</f>
        <v>Yes</v>
      </c>
      <c r="D50" s="37"/>
      <c r="E50" s="37"/>
      <c r="F50" s="311"/>
    </row>
    <row r="51" spans="1:6" s="692" customFormat="1" ht="15.75" thickBot="1" x14ac:dyDescent="0.3">
      <c r="A51" s="38"/>
      <c r="B51" s="126"/>
      <c r="C51" s="1327"/>
      <c r="D51" s="37"/>
      <c r="E51" s="37"/>
      <c r="F51" s="311"/>
    </row>
    <row r="52" spans="1:6" s="692" customFormat="1" ht="27.75" thickBot="1" x14ac:dyDescent="0.3">
      <c r="A52" s="130" t="s">
        <v>1281</v>
      </c>
      <c r="B52" s="131" t="s">
        <v>1279</v>
      </c>
      <c r="C52" s="1329" t="str">
        <f>C50</f>
        <v>Yes</v>
      </c>
      <c r="D52" s="128"/>
      <c r="E52" s="128" t="str">
        <f>E48</f>
        <v>COMPLIANT</v>
      </c>
      <c r="F52" s="273"/>
    </row>
    <row r="53" spans="1:6" s="692" customFormat="1" ht="15.75" thickBot="1" x14ac:dyDescent="0.3"/>
    <row r="54" spans="1:6" s="692" customFormat="1" ht="15.75" thickBot="1" x14ac:dyDescent="0.3">
      <c r="A54" s="18" t="s">
        <v>241</v>
      </c>
      <c r="B54" s="19" t="s">
        <v>229</v>
      </c>
      <c r="C54" s="19" t="s">
        <v>232</v>
      </c>
      <c r="D54" s="19" t="s">
        <v>342</v>
      </c>
      <c r="E54" s="19" t="s">
        <v>1265</v>
      </c>
      <c r="F54" s="270" t="s">
        <v>344</v>
      </c>
    </row>
    <row r="55" spans="1:6" s="692" customFormat="1" ht="27.75" thickBot="1" x14ac:dyDescent="0.3">
      <c r="A55" s="6" t="s">
        <v>1278</v>
      </c>
      <c r="B55" s="36" t="s">
        <v>2110</v>
      </c>
      <c r="C55" s="266">
        <v>0</v>
      </c>
      <c r="D55" s="1423" t="s">
        <v>2111</v>
      </c>
      <c r="E55" s="35" t="str">
        <f>IF(AND(C58=0, C59=0), "COMPLIANT", "NOT COMPLIANT")</f>
        <v>COMPLIANT</v>
      </c>
      <c r="F55" s="271" t="s">
        <v>425</v>
      </c>
    </row>
    <row r="56" spans="1:6" s="692" customFormat="1" ht="15.75" thickBot="1" x14ac:dyDescent="0.3">
      <c r="A56" s="2" t="s">
        <v>2112</v>
      </c>
      <c r="B56" s="268" t="s">
        <v>229</v>
      </c>
      <c r="C56" s="763">
        <f>'[1]Input Data'!$E$7</f>
        <v>43556</v>
      </c>
      <c r="D56" s="3"/>
      <c r="E56" s="3"/>
      <c r="F56" s="272"/>
    </row>
    <row r="57" spans="1:6" s="692" customFormat="1" ht="15.75" thickBot="1" x14ac:dyDescent="0.3">
      <c r="A57" s="38"/>
      <c r="B57" s="126"/>
      <c r="C57" s="1143"/>
      <c r="D57" s="37"/>
      <c r="E57" s="37"/>
      <c r="F57" s="311"/>
    </row>
    <row r="58" spans="1:6" s="692" customFormat="1" ht="15.75" thickBot="1" x14ac:dyDescent="0.3">
      <c r="A58" s="38"/>
      <c r="B58" s="39" t="s">
        <v>424</v>
      </c>
      <c r="C58" s="116">
        <f>'Input Data'!E236</f>
        <v>0</v>
      </c>
      <c r="D58" s="1144" t="s">
        <v>371</v>
      </c>
      <c r="E58" s="37"/>
      <c r="F58" s="311"/>
    </row>
    <row r="59" spans="1:6" s="692" customFormat="1" ht="15.75" thickBot="1" x14ac:dyDescent="0.3">
      <c r="A59" s="38"/>
      <c r="B59" s="39" t="s">
        <v>427</v>
      </c>
      <c r="C59" s="116">
        <f>'Input Data'!E237</f>
        <v>0</v>
      </c>
      <c r="D59" s="1144" t="s">
        <v>428</v>
      </c>
      <c r="E59" s="37"/>
      <c r="F59" s="311"/>
    </row>
    <row r="60" spans="1:6" s="692" customFormat="1" ht="15.75" thickBot="1" x14ac:dyDescent="0.3">
      <c r="A60" s="38"/>
      <c r="B60" s="126"/>
      <c r="C60" s="1143"/>
      <c r="D60" s="37"/>
      <c r="E60" s="37"/>
      <c r="F60" s="311"/>
    </row>
    <row r="61" spans="1:6" s="692" customFormat="1" ht="15.75" thickBot="1" x14ac:dyDescent="0.3">
      <c r="A61" s="130" t="s">
        <v>2113</v>
      </c>
      <c r="B61" s="274" t="s">
        <v>2110</v>
      </c>
      <c r="C61" s="116" t="str">
        <f>TEXT(C58,0)&amp;"/"&amp;TEXT(C59,0)</f>
        <v>0/0</v>
      </c>
      <c r="D61" s="128"/>
      <c r="E61" s="128" t="str">
        <f>E55</f>
        <v>COMPLIANT</v>
      </c>
      <c r="F61" s="273"/>
    </row>
    <row r="62" spans="1:6" s="692" customFormat="1" ht="15.75" thickBot="1" x14ac:dyDescent="0.3">
      <c r="A62" s="34"/>
      <c r="B62" s="1131"/>
      <c r="C62" s="1132"/>
      <c r="D62" s="34"/>
      <c r="E62" s="34"/>
      <c r="F62" s="34"/>
    </row>
    <row r="63" spans="1:6" s="692" customFormat="1" ht="15.75" thickBot="1" x14ac:dyDescent="0.3">
      <c r="A63" s="18" t="s">
        <v>241</v>
      </c>
      <c r="B63" s="19" t="s">
        <v>229</v>
      </c>
      <c r="C63" s="19" t="s">
        <v>232</v>
      </c>
      <c r="D63" s="19" t="s">
        <v>342</v>
      </c>
      <c r="E63" s="19" t="s">
        <v>1265</v>
      </c>
      <c r="F63" s="238" t="s">
        <v>344</v>
      </c>
    </row>
    <row r="64" spans="1:6" s="692" customFormat="1" ht="27.75" thickBot="1" x14ac:dyDescent="0.3">
      <c r="A64" s="6" t="s">
        <v>1278</v>
      </c>
      <c r="B64" s="286" t="s">
        <v>2114</v>
      </c>
      <c r="C64" s="266" t="s">
        <v>399</v>
      </c>
      <c r="D64" s="1422" t="s">
        <v>400</v>
      </c>
      <c r="E64" s="265" t="str">
        <f>IF(C66="Yes","COMPLIANT","NOT COMPLIANT")</f>
        <v>COMPLIANT</v>
      </c>
      <c r="F64" s="353"/>
    </row>
    <row r="65" spans="1:7" s="692" customFormat="1" ht="15.75" thickBot="1" x14ac:dyDescent="0.3">
      <c r="A65" s="2" t="s">
        <v>2115</v>
      </c>
      <c r="B65" s="42" t="s">
        <v>229</v>
      </c>
      <c r="C65" s="386"/>
      <c r="D65" s="3"/>
      <c r="E65" s="3"/>
      <c r="F65" s="272"/>
    </row>
    <row r="66" spans="1:7" s="692" customFormat="1" ht="15.75" thickBot="1" x14ac:dyDescent="0.3">
      <c r="A66" s="130" t="s">
        <v>2116</v>
      </c>
      <c r="B66" s="131" t="s">
        <v>2114</v>
      </c>
      <c r="C66" s="416" t="str">
        <f>'Input Data'!E238</f>
        <v>Yes</v>
      </c>
      <c r="D66" s="128"/>
      <c r="E66" s="128" t="str">
        <f>E64</f>
        <v>COMPLIANT</v>
      </c>
      <c r="F66" s="273"/>
    </row>
    <row r="67" spans="1:7" s="692" customFormat="1" x14ac:dyDescent="0.25">
      <c r="A67" s="34"/>
      <c r="B67" s="1131"/>
      <c r="C67" s="1132"/>
      <c r="D67" s="34"/>
      <c r="E67" s="34"/>
      <c r="F67" s="34"/>
    </row>
    <row r="68" spans="1:7" s="692" customFormat="1" ht="15.75" x14ac:dyDescent="0.3">
      <c r="A68" s="4" t="s">
        <v>201</v>
      </c>
      <c r="B68" s="188"/>
      <c r="C68" s="569"/>
    </row>
    <row r="69" spans="1:7" s="692" customFormat="1" ht="15.75" x14ac:dyDescent="0.3">
      <c r="A69" s="4" t="s">
        <v>202</v>
      </c>
      <c r="B69" s="248"/>
      <c r="C69" s="569"/>
    </row>
    <row r="70" spans="1:7" s="692" customFormat="1" x14ac:dyDescent="0.25">
      <c r="C70" s="21"/>
    </row>
    <row r="71" spans="1:7" s="692" customFormat="1" x14ac:dyDescent="0.25">
      <c r="C71" s="21"/>
    </row>
    <row r="72" spans="1:7" s="692" customFormat="1" x14ac:dyDescent="0.25">
      <c r="C72" s="21"/>
    </row>
    <row r="73" spans="1:7" s="692" customFormat="1" x14ac:dyDescent="0.25">
      <c r="C73" s="21"/>
    </row>
    <row r="74" spans="1:7" s="692" customFormat="1" x14ac:dyDescent="0.25">
      <c r="C74" s="21"/>
    </row>
    <row r="75" spans="1:7" s="692" customFormat="1" x14ac:dyDescent="0.25">
      <c r="C75" s="21"/>
    </row>
    <row r="76" spans="1:7" s="692" customFormat="1" x14ac:dyDescent="0.25">
      <c r="C76" s="21"/>
    </row>
    <row r="77" spans="1:7" s="692" customFormat="1" x14ac:dyDescent="0.25">
      <c r="C77" s="21"/>
    </row>
    <row r="78" spans="1:7" s="692" customFormat="1" x14ac:dyDescent="0.25">
      <c r="C78" s="21"/>
    </row>
    <row r="79" spans="1:7" s="692" customFormat="1" x14ac:dyDescent="0.25">
      <c r="C79" s="21"/>
    </row>
    <row r="80" spans="1:7" x14ac:dyDescent="0.25">
      <c r="A80" s="692"/>
      <c r="B80" s="692"/>
      <c r="D80" s="692"/>
      <c r="E80" s="692"/>
      <c r="F80" s="692"/>
      <c r="G80" s="692"/>
    </row>
    <row r="81" spans="7:7" x14ac:dyDescent="0.25">
      <c r="G81" s="692"/>
    </row>
    <row r="82" spans="7:7" x14ac:dyDescent="0.25">
      <c r="G82" s="692"/>
    </row>
    <row r="83" spans="7:7" x14ac:dyDescent="0.25">
      <c r="G83" s="692"/>
    </row>
    <row r="84" spans="7:7" x14ac:dyDescent="0.25">
      <c r="G84" s="692"/>
    </row>
  </sheetData>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H78"/>
  <sheetViews>
    <sheetView showGridLines="0" topLeftCell="A16" workbookViewId="0">
      <selection activeCell="C25" sqref="C25"/>
    </sheetView>
  </sheetViews>
  <sheetFormatPr defaultColWidth="8.85546875" defaultRowHeight="15" x14ac:dyDescent="0.25"/>
  <cols>
    <col min="1" max="1" width="35" customWidth="1"/>
    <col min="2" max="2" width="46.28515625" customWidth="1"/>
    <col min="3" max="3" width="16.140625" style="21" customWidth="1"/>
    <col min="4" max="4" width="13.42578125" customWidth="1"/>
    <col min="5" max="5" width="15.85546875" customWidth="1"/>
    <col min="6" max="6" width="47.85546875" customWidth="1"/>
  </cols>
  <sheetData>
    <row r="1" spans="1:6" s="727" customFormat="1" ht="67.5" customHeight="1" thickBot="1" x14ac:dyDescent="0.3">
      <c r="A1" s="726" t="s">
        <v>2087</v>
      </c>
      <c r="B1" s="471" t="s">
        <v>2088</v>
      </c>
      <c r="C1" s="21"/>
    </row>
    <row r="2" spans="1:6" s="727" customFormat="1" ht="15.95" customHeight="1" thickBot="1" x14ac:dyDescent="0.3">
      <c r="A2" s="18" t="s">
        <v>1264</v>
      </c>
      <c r="B2" s="1318" t="s">
        <v>229</v>
      </c>
      <c r="C2" s="1318" t="s">
        <v>232</v>
      </c>
      <c r="D2" s="1320" t="s">
        <v>342</v>
      </c>
      <c r="E2" s="1318" t="s">
        <v>1265</v>
      </c>
      <c r="F2" s="1321" t="s">
        <v>344</v>
      </c>
    </row>
    <row r="3" spans="1:6" s="727" customFormat="1" ht="29.1" customHeight="1" thickBot="1" x14ac:dyDescent="0.3">
      <c r="A3" s="6" t="s">
        <v>1266</v>
      </c>
      <c r="B3" s="286" t="s">
        <v>398</v>
      </c>
      <c r="C3" s="266" t="s">
        <v>399</v>
      </c>
      <c r="D3" s="1422" t="s">
        <v>400</v>
      </c>
      <c r="E3" s="265" t="str">
        <f>IF(C5="Yes","COMPLIANT","NOT COMPLIANT")</f>
        <v>COMPLIANT</v>
      </c>
      <c r="F3" s="353"/>
    </row>
    <row r="4" spans="1:6" s="727" customFormat="1" ht="15.95" customHeight="1" thickBot="1" x14ac:dyDescent="0.3">
      <c r="A4" s="2" t="s">
        <v>1267</v>
      </c>
      <c r="B4" s="42" t="s">
        <v>229</v>
      </c>
      <c r="C4" s="386"/>
      <c r="D4" s="3"/>
      <c r="E4" s="3"/>
      <c r="F4" s="272"/>
    </row>
    <row r="5" spans="1:6" s="727" customFormat="1" ht="15.95" customHeight="1" thickBot="1" x14ac:dyDescent="0.3">
      <c r="A5" s="130" t="s">
        <v>2117</v>
      </c>
      <c r="B5" s="131" t="s">
        <v>398</v>
      </c>
      <c r="C5" s="416" t="str">
        <f>'Input Data'!E23</f>
        <v>Yes</v>
      </c>
      <c r="D5" s="128"/>
      <c r="E5" s="128" t="str">
        <f>E3</f>
        <v>COMPLIANT</v>
      </c>
      <c r="F5" s="273"/>
    </row>
    <row r="6" spans="1:6" ht="15.75" thickBot="1" x14ac:dyDescent="0.3">
      <c r="A6" s="692"/>
      <c r="B6" s="692"/>
      <c r="D6" s="692"/>
      <c r="E6" s="692"/>
      <c r="F6" s="692"/>
    </row>
    <row r="7" spans="1:6" ht="15.75" thickBot="1" x14ac:dyDescent="0.3">
      <c r="A7" s="18" t="s">
        <v>238</v>
      </c>
      <c r="B7" s="19" t="s">
        <v>229</v>
      </c>
      <c r="C7" s="19" t="s">
        <v>232</v>
      </c>
      <c r="D7" s="19" t="s">
        <v>342</v>
      </c>
      <c r="E7" s="19" t="s">
        <v>1265</v>
      </c>
      <c r="F7" s="238" t="s">
        <v>344</v>
      </c>
    </row>
    <row r="8" spans="1:6" ht="27.75" thickBot="1" x14ac:dyDescent="0.3">
      <c r="A8" s="6" t="s">
        <v>1270</v>
      </c>
      <c r="B8" s="286" t="s">
        <v>2089</v>
      </c>
      <c r="C8" s="266" t="s">
        <v>399</v>
      </c>
      <c r="D8" s="1422" t="s">
        <v>400</v>
      </c>
      <c r="E8" s="265" t="str">
        <f>IF(C10="Yes","COMPLIANT","NOT COMPLIANT")</f>
        <v>COMPLIANT</v>
      </c>
      <c r="F8" s="353"/>
    </row>
    <row r="9" spans="1:6" ht="30" customHeight="1" thickBot="1" x14ac:dyDescent="0.3">
      <c r="A9" s="2" t="s">
        <v>2090</v>
      </c>
      <c r="B9" s="42" t="s">
        <v>229</v>
      </c>
      <c r="C9" s="386"/>
      <c r="D9" s="3"/>
      <c r="E9" s="3"/>
      <c r="F9" s="272"/>
    </row>
    <row r="10" spans="1:6" ht="15.75" thickBot="1" x14ac:dyDescent="0.3">
      <c r="A10" s="130" t="s">
        <v>2091</v>
      </c>
      <c r="B10" s="131" t="s">
        <v>403</v>
      </c>
      <c r="C10" s="416" t="str">
        <f>'Input Data'!E24</f>
        <v>Yes</v>
      </c>
      <c r="D10" s="128"/>
      <c r="E10" s="128" t="str">
        <f>E8</f>
        <v>COMPLIANT</v>
      </c>
      <c r="F10" s="273"/>
    </row>
    <row r="11" spans="1:6" ht="15.75" thickBot="1" x14ac:dyDescent="0.3">
      <c r="A11" s="692"/>
      <c r="B11" s="692"/>
      <c r="D11" s="692"/>
      <c r="E11" s="692"/>
      <c r="F11" s="692"/>
    </row>
    <row r="12" spans="1:6" s="692" customFormat="1" ht="15.75" thickBot="1" x14ac:dyDescent="0.3">
      <c r="A12" s="18" t="s">
        <v>1269</v>
      </c>
      <c r="B12" s="19" t="s">
        <v>229</v>
      </c>
      <c r="C12" s="19" t="s">
        <v>232</v>
      </c>
      <c r="D12" s="19" t="s">
        <v>342</v>
      </c>
      <c r="E12" s="19" t="s">
        <v>1265</v>
      </c>
      <c r="F12" s="238" t="s">
        <v>344</v>
      </c>
    </row>
    <row r="13" spans="1:6" s="692" customFormat="1" ht="15.75" thickBot="1" x14ac:dyDescent="0.3">
      <c r="A13" s="6" t="s">
        <v>1270</v>
      </c>
      <c r="B13" s="286" t="s">
        <v>406</v>
      </c>
      <c r="C13" s="266" t="s">
        <v>399</v>
      </c>
      <c r="D13" s="1422" t="s">
        <v>400</v>
      </c>
      <c r="E13" s="265" t="str">
        <f>IF(C15="Yes","COMPLIANT","NOT COMPLIANT")</f>
        <v>COMPLIANT</v>
      </c>
      <c r="F13" s="353"/>
    </row>
    <row r="14" spans="1:6" s="692" customFormat="1" ht="15.75" thickBot="1" x14ac:dyDescent="0.3">
      <c r="A14" s="2" t="s">
        <v>1271</v>
      </c>
      <c r="B14" s="42" t="s">
        <v>229</v>
      </c>
      <c r="C14" s="386"/>
      <c r="D14" s="3"/>
      <c r="E14" s="3"/>
      <c r="F14" s="272"/>
    </row>
    <row r="15" spans="1:6" s="692" customFormat="1" ht="15.75" thickBot="1" x14ac:dyDescent="0.3">
      <c r="A15" s="130" t="s">
        <v>2092</v>
      </c>
      <c r="B15" s="131" t="s">
        <v>406</v>
      </c>
      <c r="C15" s="416" t="str">
        <f>'Input Data'!E25</f>
        <v>Yes</v>
      </c>
      <c r="D15" s="128"/>
      <c r="E15" s="128" t="str">
        <f>E13</f>
        <v>COMPLIANT</v>
      </c>
      <c r="F15" s="273"/>
    </row>
    <row r="16" spans="1:6" s="692" customFormat="1" ht="15.95" customHeight="1" thickBot="1" x14ac:dyDescent="0.3">
      <c r="C16" s="21"/>
    </row>
    <row r="17" spans="1:6" s="692" customFormat="1" ht="15.95" customHeight="1" thickBot="1" x14ac:dyDescent="0.3">
      <c r="A17" s="18" t="s">
        <v>1273</v>
      </c>
      <c r="B17" s="19" t="s">
        <v>229</v>
      </c>
      <c r="C17" s="19" t="s">
        <v>232</v>
      </c>
      <c r="D17" s="19" t="s">
        <v>342</v>
      </c>
      <c r="E17" s="19" t="s">
        <v>1265</v>
      </c>
      <c r="F17" s="238" t="s">
        <v>344</v>
      </c>
    </row>
    <row r="18" spans="1:6" s="692" customFormat="1" ht="36" customHeight="1" thickBot="1" x14ac:dyDescent="0.3">
      <c r="A18" s="6" t="s">
        <v>1274</v>
      </c>
      <c r="B18" s="286" t="s">
        <v>2118</v>
      </c>
      <c r="C18" s="266" t="s">
        <v>399</v>
      </c>
      <c r="D18" s="1422" t="s">
        <v>400</v>
      </c>
      <c r="E18" s="265" t="str">
        <f>IF(C20="Yes","COMPLIANT","NOT COMPLIANT")</f>
        <v>COMPLIANT</v>
      </c>
      <c r="F18" s="353"/>
    </row>
    <row r="19" spans="1:6" s="692" customFormat="1" ht="15.95" customHeight="1" thickBot="1" x14ac:dyDescent="0.3">
      <c r="A19" s="2" t="s">
        <v>2119</v>
      </c>
      <c r="B19" s="42" t="s">
        <v>229</v>
      </c>
      <c r="C19" s="386"/>
      <c r="D19" s="3"/>
      <c r="E19" s="3"/>
      <c r="F19" s="272"/>
    </row>
    <row r="20" spans="1:6" s="692" customFormat="1" ht="15.95" customHeight="1" thickBot="1" x14ac:dyDescent="0.3">
      <c r="A20" s="130" t="s">
        <v>1277</v>
      </c>
      <c r="B20" s="131" t="s">
        <v>409</v>
      </c>
      <c r="C20" s="416" t="str">
        <f>'Input Data'!E26</f>
        <v>Yes</v>
      </c>
      <c r="D20" s="128"/>
      <c r="E20" s="128" t="str">
        <f>E18</f>
        <v>COMPLIANT</v>
      </c>
      <c r="F20" s="273"/>
    </row>
    <row r="21" spans="1:6" s="692" customFormat="1" ht="15.95" customHeight="1" thickBot="1" x14ac:dyDescent="0.3">
      <c r="C21" s="21"/>
    </row>
    <row r="22" spans="1:6" s="692" customFormat="1" ht="15.75" thickBot="1" x14ac:dyDescent="0.3">
      <c r="A22" s="18" t="s">
        <v>239</v>
      </c>
      <c r="B22" s="19" t="s">
        <v>229</v>
      </c>
      <c r="C22" s="19" t="s">
        <v>232</v>
      </c>
      <c r="D22" s="19" t="s">
        <v>342</v>
      </c>
      <c r="E22" s="19" t="s">
        <v>1265</v>
      </c>
      <c r="F22" s="238" t="s">
        <v>344</v>
      </c>
    </row>
    <row r="23" spans="1:6" s="692" customFormat="1" ht="27.75" thickBot="1" x14ac:dyDescent="0.3">
      <c r="A23" s="6" t="s">
        <v>1274</v>
      </c>
      <c r="B23" s="286" t="s">
        <v>2094</v>
      </c>
      <c r="C23" s="266" t="s">
        <v>399</v>
      </c>
      <c r="D23" s="1422" t="s">
        <v>400</v>
      </c>
      <c r="E23" s="265" t="str">
        <f>IF(C25="Yes","COMPLIANT","NOT COMPLIANT")</f>
        <v>COMPLIANT</v>
      </c>
      <c r="F23" s="353"/>
    </row>
    <row r="24" spans="1:6" s="692" customFormat="1" ht="15.75" thickBot="1" x14ac:dyDescent="0.3">
      <c r="A24" s="2" t="s">
        <v>2095</v>
      </c>
      <c r="B24" s="42" t="s">
        <v>229</v>
      </c>
      <c r="C24" s="386"/>
      <c r="D24" s="3"/>
      <c r="E24" s="3"/>
      <c r="F24" s="272"/>
    </row>
    <row r="25" spans="1:6" s="692" customFormat="1" ht="15.75" thickBot="1" x14ac:dyDescent="0.3">
      <c r="A25" s="130" t="s">
        <v>2096</v>
      </c>
      <c r="B25" s="131" t="s">
        <v>412</v>
      </c>
      <c r="C25" s="416" t="str">
        <f>'Input Data'!E27</f>
        <v>Yes</v>
      </c>
      <c r="D25" s="128"/>
      <c r="E25" s="128" t="str">
        <f>E23</f>
        <v>COMPLIANT</v>
      </c>
      <c r="F25" s="273"/>
    </row>
    <row r="26" spans="1:6" s="692" customFormat="1" ht="15.75" thickBot="1" x14ac:dyDescent="0.3">
      <c r="A26" s="34"/>
      <c r="B26" s="32"/>
      <c r="C26" s="1130"/>
      <c r="D26" s="34"/>
      <c r="E26" s="34"/>
      <c r="F26" s="34"/>
    </row>
    <row r="27" spans="1:6" s="692" customFormat="1" ht="15.75" thickBot="1" x14ac:dyDescent="0.3">
      <c r="A27" s="18" t="s">
        <v>239</v>
      </c>
      <c r="B27" s="19" t="s">
        <v>229</v>
      </c>
      <c r="C27" s="19" t="s">
        <v>232</v>
      </c>
      <c r="D27" s="19" t="s">
        <v>342</v>
      </c>
      <c r="E27" s="19" t="s">
        <v>1265</v>
      </c>
      <c r="F27" s="238" t="s">
        <v>344</v>
      </c>
    </row>
    <row r="28" spans="1:6" s="692" customFormat="1" ht="27.75" thickBot="1" x14ac:dyDescent="0.3">
      <c r="A28" s="6" t="s">
        <v>1274</v>
      </c>
      <c r="B28" s="286" t="s">
        <v>2120</v>
      </c>
      <c r="C28" s="266" t="s">
        <v>399</v>
      </c>
      <c r="D28" s="1422" t="s">
        <v>400</v>
      </c>
      <c r="E28" s="265" t="str">
        <f>IF(C30="Yes","COMPLIANT","NOT COMPLIANT")</f>
        <v>COMPLIANT</v>
      </c>
      <c r="F28" s="353"/>
    </row>
    <row r="29" spans="1:6" s="692" customFormat="1" ht="15.75" thickBot="1" x14ac:dyDescent="0.3">
      <c r="A29" s="2" t="s">
        <v>2098</v>
      </c>
      <c r="B29" s="42" t="s">
        <v>229</v>
      </c>
      <c r="C29" s="386"/>
      <c r="D29" s="3"/>
      <c r="E29" s="3"/>
      <c r="F29" s="272"/>
    </row>
    <row r="30" spans="1:6" s="692" customFormat="1" ht="27.75" thickBot="1" x14ac:dyDescent="0.3">
      <c r="A30" s="130" t="s">
        <v>2099</v>
      </c>
      <c r="B30" s="131" t="s">
        <v>415</v>
      </c>
      <c r="C30" s="416" t="str">
        <f>'Input Data'!E28</f>
        <v>Yes</v>
      </c>
      <c r="D30" s="128"/>
      <c r="E30" s="128" t="str">
        <f>E28</f>
        <v>COMPLIANT</v>
      </c>
      <c r="F30" s="273"/>
    </row>
    <row r="31" spans="1:6" s="692" customFormat="1" ht="15.75" thickBot="1" x14ac:dyDescent="0.3">
      <c r="A31" s="34"/>
      <c r="B31" s="32"/>
      <c r="C31" s="1130"/>
      <c r="D31" s="34"/>
      <c r="E31" s="34"/>
      <c r="F31" s="34"/>
    </row>
    <row r="32" spans="1:6" s="692" customFormat="1" ht="15.75" thickBot="1" x14ac:dyDescent="0.3">
      <c r="A32" s="18" t="s">
        <v>239</v>
      </c>
      <c r="B32" s="19" t="s">
        <v>229</v>
      </c>
      <c r="C32" s="19" t="s">
        <v>232</v>
      </c>
      <c r="D32" s="19" t="s">
        <v>342</v>
      </c>
      <c r="E32" s="19" t="s">
        <v>1265</v>
      </c>
      <c r="F32" s="238" t="s">
        <v>344</v>
      </c>
    </row>
    <row r="33" spans="1:6" s="692" customFormat="1" ht="27.75" thickBot="1" x14ac:dyDescent="0.3">
      <c r="A33" s="6" t="s">
        <v>1274</v>
      </c>
      <c r="B33" s="286" t="s">
        <v>2100</v>
      </c>
      <c r="C33" s="266" t="s">
        <v>399</v>
      </c>
      <c r="D33" s="1422" t="s">
        <v>400</v>
      </c>
      <c r="E33" s="265" t="str">
        <f>IF(C35="Yes","COMPLIANT","NOT COMPLIANT")</f>
        <v>COMPLIANT</v>
      </c>
      <c r="F33" s="353"/>
    </row>
    <row r="34" spans="1:6" s="692" customFormat="1" ht="15.75" thickBot="1" x14ac:dyDescent="0.3">
      <c r="A34" s="2" t="s">
        <v>2101</v>
      </c>
      <c r="B34" s="42" t="s">
        <v>229</v>
      </c>
      <c r="C34" s="386"/>
      <c r="D34" s="3"/>
      <c r="E34" s="3"/>
      <c r="F34" s="272"/>
    </row>
    <row r="35" spans="1:6" s="692" customFormat="1" ht="27.75" thickBot="1" x14ac:dyDescent="0.3">
      <c r="A35" s="130" t="s">
        <v>2102</v>
      </c>
      <c r="B35" s="131" t="s">
        <v>418</v>
      </c>
      <c r="C35" s="416" t="str">
        <f>'Input Data'!E29</f>
        <v>Yes</v>
      </c>
      <c r="D35" s="128"/>
      <c r="E35" s="128" t="str">
        <f>E33</f>
        <v>COMPLIANT</v>
      </c>
      <c r="F35" s="273"/>
    </row>
    <row r="36" spans="1:6" s="692" customFormat="1" ht="15.75" thickBot="1" x14ac:dyDescent="0.3">
      <c r="A36" s="34"/>
      <c r="B36" s="32"/>
      <c r="C36" s="1130"/>
      <c r="D36" s="34"/>
      <c r="E36" s="34"/>
      <c r="F36" s="34"/>
    </row>
    <row r="37" spans="1:6" s="692" customFormat="1" ht="15.75" thickBot="1" x14ac:dyDescent="0.3">
      <c r="A37" s="18" t="s">
        <v>241</v>
      </c>
      <c r="B37" s="19" t="s">
        <v>229</v>
      </c>
      <c r="C37" s="19" t="s">
        <v>232</v>
      </c>
      <c r="D37" s="19" t="s">
        <v>342</v>
      </c>
      <c r="E37" s="19" t="s">
        <v>1265</v>
      </c>
      <c r="F37" s="238" t="s">
        <v>344</v>
      </c>
    </row>
    <row r="38" spans="1:6" s="692" customFormat="1" ht="27.75" thickBot="1" x14ac:dyDescent="0.3">
      <c r="A38" s="6" t="s">
        <v>1278</v>
      </c>
      <c r="B38" s="286" t="s">
        <v>952</v>
      </c>
      <c r="C38" s="266" t="s">
        <v>399</v>
      </c>
      <c r="D38" s="1422" t="s">
        <v>400</v>
      </c>
      <c r="E38" s="265" t="str">
        <f>IF(C42="Yes","COMPLIANT","NOT COMPLIANT")</f>
        <v>COMPLIANT</v>
      </c>
      <c r="F38" s="353"/>
    </row>
    <row r="39" spans="1:6" s="692" customFormat="1" ht="15.75" thickBot="1" x14ac:dyDescent="0.3">
      <c r="A39" s="2" t="s">
        <v>1280</v>
      </c>
      <c r="B39" s="42" t="s">
        <v>229</v>
      </c>
      <c r="C39" s="386"/>
      <c r="D39" s="3"/>
      <c r="E39" s="3"/>
      <c r="F39" s="272"/>
    </row>
    <row r="40" spans="1:6" s="692" customFormat="1" ht="27.75" thickBot="1" x14ac:dyDescent="0.3">
      <c r="A40" s="38"/>
      <c r="B40" s="1328" t="s">
        <v>952</v>
      </c>
      <c r="C40" s="416" t="str">
        <f>'Input Data'!E35</f>
        <v>Yes</v>
      </c>
      <c r="D40" s="37"/>
      <c r="E40" s="37"/>
      <c r="F40" s="311"/>
    </row>
    <row r="41" spans="1:6" s="692" customFormat="1" ht="15.75" thickBot="1" x14ac:dyDescent="0.3">
      <c r="A41" s="38"/>
      <c r="B41" s="126"/>
      <c r="C41" s="1327"/>
      <c r="D41" s="37"/>
      <c r="E41" s="37"/>
      <c r="F41" s="311"/>
    </row>
    <row r="42" spans="1:6" s="692" customFormat="1" ht="41.25" thickBot="1" x14ac:dyDescent="0.3">
      <c r="A42" s="130" t="s">
        <v>1281</v>
      </c>
      <c r="B42" s="131" t="s">
        <v>1279</v>
      </c>
      <c r="C42" s="416" t="str">
        <f>C40</f>
        <v>Yes</v>
      </c>
      <c r="D42" s="128"/>
      <c r="E42" s="128" t="str">
        <f>E38</f>
        <v>COMPLIANT</v>
      </c>
      <c r="F42" s="273"/>
    </row>
    <row r="43" spans="1:6" s="692" customFormat="1" ht="15.75" thickBot="1" x14ac:dyDescent="0.3">
      <c r="A43" s="34"/>
      <c r="B43" s="32"/>
      <c r="C43" s="1130"/>
      <c r="D43" s="34"/>
      <c r="E43" s="34"/>
      <c r="F43" s="34"/>
    </row>
    <row r="44" spans="1:6" s="692" customFormat="1" ht="15.75" thickBot="1" x14ac:dyDescent="0.3">
      <c r="A44" s="18" t="s">
        <v>241</v>
      </c>
      <c r="B44" s="19" t="s">
        <v>229</v>
      </c>
      <c r="C44" s="19" t="s">
        <v>232</v>
      </c>
      <c r="D44" s="19" t="s">
        <v>342</v>
      </c>
      <c r="E44" s="19" t="s">
        <v>1265</v>
      </c>
      <c r="F44" s="270" t="s">
        <v>344</v>
      </c>
    </row>
    <row r="45" spans="1:6" s="692" customFormat="1" ht="27.75" thickBot="1" x14ac:dyDescent="0.3">
      <c r="A45" s="6" t="s">
        <v>1278</v>
      </c>
      <c r="B45" s="36" t="s">
        <v>2110</v>
      </c>
      <c r="C45" s="266">
        <v>0</v>
      </c>
      <c r="D45" s="1423" t="s">
        <v>2111</v>
      </c>
      <c r="E45" s="35" t="str">
        <f>IF(AND(C48=0, C49=0), "COMPLIANT", "NOT COMPLIANT")</f>
        <v>COMPLIANT</v>
      </c>
      <c r="F45" s="271" t="s">
        <v>425</v>
      </c>
    </row>
    <row r="46" spans="1:6" ht="15.75" thickBot="1" x14ac:dyDescent="0.3">
      <c r="A46" s="2" t="s">
        <v>2112</v>
      </c>
      <c r="B46" s="268" t="s">
        <v>229</v>
      </c>
      <c r="C46" s="763">
        <f>'[1]Input Data'!$E$7</f>
        <v>43556</v>
      </c>
      <c r="D46" s="3"/>
      <c r="E46" s="3"/>
      <c r="F46" s="272"/>
    </row>
    <row r="47" spans="1:6" ht="15.75" thickBot="1" x14ac:dyDescent="0.3">
      <c r="A47" s="38"/>
      <c r="B47" s="126"/>
      <c r="C47" s="1143"/>
      <c r="D47" s="37"/>
      <c r="E47" s="37"/>
      <c r="F47" s="311"/>
    </row>
    <row r="48" spans="1:6" ht="15.75" thickBot="1" x14ac:dyDescent="0.3">
      <c r="A48" s="38"/>
      <c r="B48" s="39" t="s">
        <v>424</v>
      </c>
      <c r="C48" s="116">
        <f>'Input Data'!E31</f>
        <v>0</v>
      </c>
      <c r="D48" s="1144" t="s">
        <v>371</v>
      </c>
      <c r="E48" s="37"/>
      <c r="F48" s="311"/>
    </row>
    <row r="49" spans="1:8" ht="15.75" thickBot="1" x14ac:dyDescent="0.3">
      <c r="A49" s="38"/>
      <c r="B49" s="39" t="s">
        <v>427</v>
      </c>
      <c r="C49" s="116">
        <f>'Input Data'!E32</f>
        <v>0</v>
      </c>
      <c r="D49" s="1144" t="s">
        <v>428</v>
      </c>
      <c r="E49" s="37"/>
      <c r="F49" s="311"/>
      <c r="G49" s="692"/>
      <c r="H49" s="692"/>
    </row>
    <row r="50" spans="1:8" ht="15.75" thickBot="1" x14ac:dyDescent="0.3">
      <c r="A50" s="38"/>
      <c r="B50" s="126"/>
      <c r="C50" s="1143"/>
      <c r="D50" s="37"/>
      <c r="E50" s="37"/>
      <c r="F50" s="311"/>
      <c r="G50" s="692"/>
      <c r="H50" s="692"/>
    </row>
    <row r="51" spans="1:8" ht="27.75" thickBot="1" x14ac:dyDescent="0.3">
      <c r="A51" s="130" t="s">
        <v>2113</v>
      </c>
      <c r="B51" s="274" t="s">
        <v>2110</v>
      </c>
      <c r="C51" s="116" t="str">
        <f>TEXT(C48,0)&amp;"/"&amp;TEXT(C49,0)</f>
        <v>0/0</v>
      </c>
      <c r="D51" s="128"/>
      <c r="E51" s="128" t="str">
        <f>E45</f>
        <v>COMPLIANT</v>
      </c>
      <c r="F51" s="273"/>
      <c r="G51" s="692"/>
      <c r="H51" s="692"/>
    </row>
    <row r="52" spans="1:8" ht="16.5" thickBot="1" x14ac:dyDescent="0.35">
      <c r="A52" s="32"/>
      <c r="B52" s="1130"/>
      <c r="C52" s="34"/>
      <c r="D52" s="34"/>
      <c r="E52" s="34"/>
      <c r="F52" s="41"/>
      <c r="G52" s="692"/>
      <c r="H52" s="692"/>
    </row>
    <row r="53" spans="1:8" ht="15.75" thickBot="1" x14ac:dyDescent="0.3">
      <c r="A53" s="18" t="s">
        <v>241</v>
      </c>
      <c r="B53" s="19" t="s">
        <v>229</v>
      </c>
      <c r="C53" s="19" t="s">
        <v>232</v>
      </c>
      <c r="D53" s="19" t="s">
        <v>342</v>
      </c>
      <c r="E53" s="19" t="s">
        <v>1265</v>
      </c>
      <c r="F53" s="238" t="s">
        <v>344</v>
      </c>
      <c r="G53" s="692"/>
      <c r="H53" s="692"/>
    </row>
    <row r="54" spans="1:8" ht="27.75" thickBot="1" x14ac:dyDescent="0.3">
      <c r="A54" s="6" t="s">
        <v>1278</v>
      </c>
      <c r="B54" s="286" t="s">
        <v>2114</v>
      </c>
      <c r="C54" s="266" t="s">
        <v>399</v>
      </c>
      <c r="D54" s="1422" t="s">
        <v>400</v>
      </c>
      <c r="E54" s="265" t="str">
        <f>IF(C56="Yes","COMPLIANT","NOT COMPLIANT")</f>
        <v>COMPLIANT</v>
      </c>
      <c r="F54" s="353"/>
      <c r="G54" s="692"/>
      <c r="H54" s="692"/>
    </row>
    <row r="55" spans="1:8" ht="15.75" thickBot="1" x14ac:dyDescent="0.3">
      <c r="A55" s="2" t="s">
        <v>2115</v>
      </c>
      <c r="B55" s="42" t="s">
        <v>229</v>
      </c>
      <c r="C55" s="386"/>
      <c r="D55" s="3"/>
      <c r="E55" s="3"/>
      <c r="F55" s="272"/>
      <c r="G55" s="692"/>
      <c r="H55" s="692"/>
    </row>
    <row r="56" spans="1:8" ht="15.75" thickBot="1" x14ac:dyDescent="0.3">
      <c r="A56" s="130" t="s">
        <v>2116</v>
      </c>
      <c r="B56" s="131" t="s">
        <v>2114</v>
      </c>
      <c r="C56" s="416" t="str">
        <f>'Input Data'!E33</f>
        <v>Yes</v>
      </c>
      <c r="D56" s="128"/>
      <c r="E56" s="128" t="str">
        <f>E54</f>
        <v>COMPLIANT</v>
      </c>
      <c r="F56" s="273"/>
      <c r="G56" s="692"/>
      <c r="H56" s="692"/>
    </row>
    <row r="57" spans="1:8" x14ac:dyDescent="0.25">
      <c r="A57" s="32"/>
      <c r="B57" s="1130"/>
      <c r="C57" s="34"/>
      <c r="D57" s="34"/>
      <c r="E57" s="34"/>
      <c r="F57" s="692"/>
      <c r="G57" s="692"/>
      <c r="H57" s="692"/>
    </row>
    <row r="58" spans="1:8" x14ac:dyDescent="0.25">
      <c r="A58" s="34"/>
      <c r="B58" s="32"/>
      <c r="C58" s="1130"/>
      <c r="D58" s="34"/>
      <c r="E58" s="34"/>
      <c r="F58" s="692"/>
      <c r="G58" s="692"/>
      <c r="H58" s="692"/>
    </row>
    <row r="59" spans="1:8" ht="15.75" x14ac:dyDescent="0.3">
      <c r="A59" s="4" t="s">
        <v>201</v>
      </c>
      <c r="B59" s="188"/>
      <c r="C59" s="569"/>
      <c r="D59" s="247"/>
      <c r="E59" s="188"/>
      <c r="F59" s="692"/>
      <c r="G59" s="692"/>
      <c r="H59" s="692"/>
    </row>
    <row r="60" spans="1:8" ht="15.75" x14ac:dyDescent="0.3">
      <c r="A60" s="4" t="s">
        <v>202</v>
      </c>
      <c r="B60" s="248"/>
      <c r="C60" s="569"/>
      <c r="D60" s="247"/>
      <c r="E60" s="188"/>
      <c r="F60" s="692"/>
      <c r="G60" s="692"/>
      <c r="H60" s="692"/>
    </row>
    <row r="61" spans="1:8" x14ac:dyDescent="0.25">
      <c r="A61" s="692"/>
      <c r="B61" s="692"/>
      <c r="D61" s="692"/>
      <c r="E61" s="692"/>
      <c r="F61" s="692"/>
      <c r="G61" s="692"/>
      <c r="H61" s="692"/>
    </row>
    <row r="62" spans="1:8" x14ac:dyDescent="0.25">
      <c r="A62" s="692"/>
      <c r="B62" s="692"/>
      <c r="D62" s="692"/>
      <c r="E62" s="692"/>
      <c r="F62" s="692"/>
      <c r="G62" s="692"/>
      <c r="H62" s="692"/>
    </row>
    <row r="63" spans="1:8" x14ac:dyDescent="0.25">
      <c r="A63" s="692"/>
      <c r="B63" s="692"/>
      <c r="D63" s="692"/>
      <c r="E63" s="692"/>
      <c r="F63" s="692"/>
      <c r="G63" s="692"/>
      <c r="H63" s="692"/>
    </row>
    <row r="64" spans="1:8" x14ac:dyDescent="0.25">
      <c r="A64" s="692"/>
      <c r="B64" s="692"/>
      <c r="D64" s="692"/>
      <c r="E64" s="692"/>
      <c r="F64" s="692"/>
      <c r="G64" s="692"/>
      <c r="H64" s="692"/>
    </row>
    <row r="65" spans="1:8" s="692" customFormat="1" x14ac:dyDescent="0.25">
      <c r="C65" s="21"/>
    </row>
    <row r="66" spans="1:8" s="692" customFormat="1" x14ac:dyDescent="0.25">
      <c r="C66" s="21"/>
    </row>
    <row r="67" spans="1:8" s="692" customFormat="1" x14ac:dyDescent="0.25">
      <c r="C67" s="21"/>
    </row>
    <row r="68" spans="1:8" s="692" customFormat="1" x14ac:dyDescent="0.25">
      <c r="C68" s="21"/>
    </row>
    <row r="69" spans="1:8" x14ac:dyDescent="0.25">
      <c r="A69" s="692"/>
      <c r="B69" s="692"/>
      <c r="D69" s="692"/>
      <c r="E69" s="692"/>
      <c r="F69" s="692"/>
      <c r="G69" s="692"/>
      <c r="H69" s="692"/>
    </row>
    <row r="70" spans="1:8" s="692" customFormat="1" x14ac:dyDescent="0.25">
      <c r="C70" s="21"/>
    </row>
    <row r="71" spans="1:8" s="692" customFormat="1" x14ac:dyDescent="0.25">
      <c r="C71" s="21"/>
    </row>
    <row r="72" spans="1:8" s="692" customFormat="1" x14ac:dyDescent="0.25">
      <c r="C72" s="21"/>
    </row>
    <row r="73" spans="1:8" s="692" customFormat="1" x14ac:dyDescent="0.25">
      <c r="C73" s="21"/>
    </row>
    <row r="74" spans="1:8" x14ac:dyDescent="0.25">
      <c r="A74" s="692"/>
      <c r="B74" s="692"/>
      <c r="D74" s="692"/>
      <c r="E74" s="692"/>
      <c r="F74" s="692"/>
      <c r="G74" s="692"/>
      <c r="H74" s="692"/>
    </row>
    <row r="75" spans="1:8" x14ac:dyDescent="0.25">
      <c r="A75" s="692"/>
      <c r="B75" s="692"/>
      <c r="D75" s="692"/>
      <c r="E75" s="692"/>
      <c r="F75" s="692"/>
      <c r="G75" s="692"/>
      <c r="H75" s="692"/>
    </row>
    <row r="76" spans="1:8" x14ac:dyDescent="0.25">
      <c r="A76" s="692"/>
      <c r="B76" s="692"/>
      <c r="D76" s="692"/>
      <c r="E76" s="692"/>
      <c r="F76" s="692"/>
      <c r="G76" s="692"/>
      <c r="H76" s="692"/>
    </row>
    <row r="77" spans="1:8" x14ac:dyDescent="0.25">
      <c r="A77" s="692"/>
      <c r="B77" s="692"/>
      <c r="D77" s="692"/>
      <c r="E77" s="692"/>
      <c r="F77" s="692"/>
      <c r="G77" s="692"/>
      <c r="H77" s="692"/>
    </row>
    <row r="78" spans="1:8" x14ac:dyDescent="0.25">
      <c r="A78" s="692"/>
      <c r="B78" s="692"/>
      <c r="D78" s="692"/>
      <c r="E78" s="692"/>
      <c r="F78" s="692"/>
      <c r="G78" s="692"/>
      <c r="H78" s="692"/>
    </row>
  </sheetData>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FC9BF-538E-4C10-BB6F-57A6321B338A}">
  <dimension ref="A2:M60"/>
  <sheetViews>
    <sheetView zoomScale="70" zoomScaleNormal="70" workbookViewId="0">
      <selection activeCell="J29" sqref="J29"/>
    </sheetView>
  </sheetViews>
  <sheetFormatPr defaultRowHeight="15" x14ac:dyDescent="0.25"/>
  <cols>
    <col min="1" max="1" width="51.5703125" customWidth="1"/>
    <col min="2" max="2" width="16.42578125" bestFit="1" customWidth="1"/>
    <col min="3" max="3" width="11" customWidth="1"/>
    <col min="4" max="4" width="12.42578125" bestFit="1" customWidth="1"/>
    <col min="6" max="6" width="31.85546875" customWidth="1"/>
    <col min="7" max="7" width="13.5703125" customWidth="1"/>
    <col min="9" max="9" width="18.140625" customWidth="1"/>
    <col min="11" max="11" width="10.5703125" customWidth="1"/>
    <col min="12" max="12" width="9.42578125" customWidth="1"/>
    <col min="13" max="13" width="12" bestFit="1" customWidth="1"/>
  </cols>
  <sheetData>
    <row r="2" spans="1:12" ht="15.75" thickBot="1" x14ac:dyDescent="0.3">
      <c r="A2" s="692"/>
      <c r="B2" s="692"/>
      <c r="C2" s="692"/>
      <c r="D2" s="692"/>
      <c r="E2" s="692"/>
      <c r="F2" s="692"/>
      <c r="G2" s="692"/>
      <c r="H2" s="692"/>
      <c r="I2" s="692"/>
      <c r="J2" s="692"/>
      <c r="K2" s="692"/>
      <c r="L2" s="692"/>
    </row>
    <row r="3" spans="1:12" ht="15.75" thickBot="1" x14ac:dyDescent="0.3">
      <c r="A3" s="18" t="s">
        <v>2121</v>
      </c>
      <c r="B3" s="650"/>
      <c r="C3" s="650"/>
      <c r="D3" s="651"/>
      <c r="E3" s="692"/>
      <c r="F3" s="18" t="s">
        <v>2122</v>
      </c>
      <c r="G3" s="650"/>
      <c r="H3" s="650"/>
      <c r="I3" s="651"/>
      <c r="J3" s="692"/>
      <c r="K3" s="842" t="s">
        <v>228</v>
      </c>
      <c r="L3" s="1053" t="s">
        <v>1647</v>
      </c>
    </row>
    <row r="4" spans="1:12" x14ac:dyDescent="0.25">
      <c r="A4" s="310"/>
      <c r="B4" s="310"/>
      <c r="C4" s="310"/>
      <c r="D4" s="310"/>
      <c r="E4" s="692"/>
      <c r="F4" s="310"/>
      <c r="G4" s="310"/>
      <c r="H4" s="310"/>
      <c r="I4" s="310"/>
      <c r="J4" s="692"/>
      <c r="K4" s="692" t="s">
        <v>2121</v>
      </c>
      <c r="L4" s="1054">
        <f>B38</f>
        <v>0</v>
      </c>
    </row>
    <row r="5" spans="1:12" x14ac:dyDescent="0.25">
      <c r="A5" s="310" t="s">
        <v>2123</v>
      </c>
      <c r="B5" s="310"/>
      <c r="C5" s="310"/>
      <c r="D5" s="310"/>
      <c r="E5" s="692"/>
      <c r="F5" s="310" t="s">
        <v>2123</v>
      </c>
      <c r="G5" s="310"/>
      <c r="H5" s="310"/>
      <c r="I5" s="310"/>
      <c r="J5" s="692"/>
      <c r="K5" s="692" t="s">
        <v>2122</v>
      </c>
      <c r="L5" s="1054">
        <f>G18</f>
        <v>0</v>
      </c>
    </row>
    <row r="6" spans="1:12" s="692" customFormat="1" ht="15.75" x14ac:dyDescent="0.3">
      <c r="A6" s="29" t="s">
        <v>1845</v>
      </c>
      <c r="B6" s="29">
        <f>'P3 Agric'!C83*'P3 Agric'!C84</f>
        <v>0</v>
      </c>
      <c r="C6" s="39" t="s">
        <v>1846</v>
      </c>
      <c r="D6" s="310"/>
      <c r="F6" s="310"/>
      <c r="G6" s="310"/>
      <c r="H6" s="310"/>
      <c r="I6" s="310"/>
      <c r="K6" s="692" t="s">
        <v>2124</v>
      </c>
      <c r="L6" s="1054">
        <f>G36</f>
        <v>0</v>
      </c>
    </row>
    <row r="7" spans="1:12" s="692" customFormat="1" ht="16.5" thickBot="1" x14ac:dyDescent="0.35">
      <c r="A7" s="29" t="s">
        <v>2125</v>
      </c>
      <c r="B7" s="29">
        <f>'P3 Agric'!C96*'P3 Agric'!C97</f>
        <v>0</v>
      </c>
      <c r="C7" s="39" t="s">
        <v>1846</v>
      </c>
      <c r="D7" s="310"/>
      <c r="F7" s="681" t="s">
        <v>1906</v>
      </c>
      <c r="G7" s="829" t="e">
        <f>'P3 Agric'!C163</f>
        <v>#DIV/0!</v>
      </c>
      <c r="H7" s="39" t="s">
        <v>1846</v>
      </c>
      <c r="I7" s="310"/>
    </row>
    <row r="8" spans="1:12" ht="16.5" thickBot="1" x14ac:dyDescent="0.35">
      <c r="A8" s="1077" t="s">
        <v>1626</v>
      </c>
      <c r="B8" s="29" t="e">
        <f>'P3 Mill'!C152/1000</f>
        <v>#DIV/0!</v>
      </c>
      <c r="C8" s="39" t="s">
        <v>1846</v>
      </c>
      <c r="D8" s="310"/>
      <c r="E8" s="692"/>
      <c r="F8" s="189" t="s">
        <v>1903</v>
      </c>
      <c r="G8" s="829" t="e">
        <f>'P3 Agric'!C159</f>
        <v>#DIV/0!</v>
      </c>
      <c r="H8" s="682" t="s">
        <v>1899</v>
      </c>
      <c r="I8" s="310"/>
      <c r="J8" s="692"/>
      <c r="K8" s="692"/>
      <c r="L8" s="692"/>
    </row>
    <row r="9" spans="1:12" ht="15.75" x14ac:dyDescent="0.3">
      <c r="A9" s="681" t="s">
        <v>1885</v>
      </c>
      <c r="B9" s="829">
        <f>'P3 Agric'!C131</f>
        <v>0</v>
      </c>
      <c r="C9" s="39" t="s">
        <v>1846</v>
      </c>
      <c r="D9" s="310"/>
      <c r="E9" s="692"/>
      <c r="F9" s="681"/>
      <c r="G9" s="830"/>
      <c r="H9" s="39"/>
      <c r="I9" s="310"/>
      <c r="J9" s="692"/>
      <c r="K9" s="692"/>
      <c r="L9" s="692"/>
    </row>
    <row r="10" spans="1:12" ht="15.75" x14ac:dyDescent="0.3">
      <c r="A10" s="681" t="s">
        <v>1889</v>
      </c>
      <c r="B10" s="829">
        <f>'P3 Agric'!C137</f>
        <v>0</v>
      </c>
      <c r="C10" s="39" t="s">
        <v>1846</v>
      </c>
      <c r="D10" s="310"/>
      <c r="E10" s="692"/>
      <c r="F10" s="681"/>
      <c r="G10" s="830"/>
      <c r="H10" s="39"/>
      <c r="I10" s="310"/>
      <c r="J10" s="692"/>
      <c r="K10" s="692"/>
      <c r="L10" s="692"/>
    </row>
    <row r="11" spans="1:12" ht="15.75" x14ac:dyDescent="0.3">
      <c r="A11" s="681" t="s">
        <v>1892</v>
      </c>
      <c r="B11" s="829">
        <f>'P3 Agric'!C150</f>
        <v>0</v>
      </c>
      <c r="C11" s="39" t="s">
        <v>1846</v>
      </c>
      <c r="D11" s="310"/>
      <c r="E11" s="692"/>
      <c r="F11" s="681"/>
      <c r="G11" s="830"/>
      <c r="H11" s="39"/>
      <c r="I11" s="310"/>
      <c r="J11" s="692"/>
      <c r="K11" s="692"/>
      <c r="L11" s="692"/>
    </row>
    <row r="12" spans="1:12" ht="15.75" x14ac:dyDescent="0.3">
      <c r="A12" s="68" t="s">
        <v>1898</v>
      </c>
      <c r="B12" s="829">
        <f>'P3 Agric'!C155</f>
        <v>0</v>
      </c>
      <c r="C12" s="39" t="s">
        <v>1846</v>
      </c>
      <c r="D12" s="310"/>
      <c r="E12" s="692"/>
      <c r="F12" s="57"/>
      <c r="G12" s="830"/>
      <c r="H12" s="682"/>
      <c r="I12" s="310"/>
      <c r="J12" s="692"/>
      <c r="K12" s="692"/>
      <c r="L12" s="692"/>
    </row>
    <row r="13" spans="1:12" ht="15.75" thickBot="1" x14ac:dyDescent="0.3">
      <c r="A13" s="310"/>
      <c r="B13" s="310"/>
      <c r="C13" s="310"/>
      <c r="D13" s="310"/>
      <c r="E13" s="692"/>
      <c r="F13" s="310" t="s">
        <v>2126</v>
      </c>
      <c r="G13" s="310"/>
      <c r="H13" s="310"/>
      <c r="I13" s="310"/>
      <c r="J13" s="692"/>
      <c r="K13" s="692"/>
      <c r="L13" s="692"/>
    </row>
    <row r="14" spans="1:12" ht="17.25" thickBot="1" x14ac:dyDescent="0.35">
      <c r="A14" s="680" t="s">
        <v>1921</v>
      </c>
      <c r="B14" s="829" t="e">
        <f>'P3 Agric'!C178</f>
        <v>#DIV/0!</v>
      </c>
      <c r="C14" s="39" t="s">
        <v>1846</v>
      </c>
      <c r="D14" s="310"/>
      <c r="E14" s="692"/>
      <c r="F14" s="189" t="s">
        <v>1595</v>
      </c>
      <c r="G14" s="506" t="e">
        <f>'P3 Mill'!C124/1000</f>
        <v>#DIV/0!</v>
      </c>
      <c r="H14" s="682" t="s">
        <v>1623</v>
      </c>
      <c r="I14" s="310"/>
      <c r="J14" s="692"/>
      <c r="K14" s="692"/>
      <c r="L14" s="692"/>
    </row>
    <row r="15" spans="1:12" ht="15.75" x14ac:dyDescent="0.3">
      <c r="A15" s="681" t="s">
        <v>1928</v>
      </c>
      <c r="B15" s="829" t="e">
        <f>'P3 Agric'!C187</f>
        <v>#DIV/0!</v>
      </c>
      <c r="C15" s="39" t="s">
        <v>1846</v>
      </c>
      <c r="D15" s="310"/>
      <c r="E15" s="692"/>
      <c r="F15" s="310"/>
      <c r="G15" s="310"/>
      <c r="H15" s="310"/>
      <c r="I15" s="310"/>
      <c r="J15" s="692"/>
      <c r="K15" s="692"/>
      <c r="L15" s="692"/>
    </row>
    <row r="16" spans="1:12" ht="16.5" x14ac:dyDescent="0.3">
      <c r="A16" s="681" t="s">
        <v>1936</v>
      </c>
      <c r="B16" s="829">
        <f>'P3 Agric'!C195</f>
        <v>0</v>
      </c>
      <c r="C16" s="39" t="s">
        <v>1846</v>
      </c>
      <c r="D16" s="310"/>
      <c r="E16" s="692"/>
      <c r="F16" s="843" t="s">
        <v>2127</v>
      </c>
      <c r="G16" s="848" t="e">
        <f>G7+G8+G14</f>
        <v>#DIV/0!</v>
      </c>
      <c r="H16" s="121" t="s">
        <v>2128</v>
      </c>
      <c r="I16" s="310"/>
      <c r="J16" s="692"/>
      <c r="K16" s="692"/>
      <c r="L16" s="692"/>
    </row>
    <row r="17" spans="1:9" ht="16.5" x14ac:dyDescent="0.3">
      <c r="A17" s="681" t="s">
        <v>1946</v>
      </c>
      <c r="B17" s="829">
        <f>'P3 Agric'!C206</f>
        <v>0</v>
      </c>
      <c r="C17" s="39" t="s">
        <v>1846</v>
      </c>
      <c r="D17" s="310"/>
      <c r="E17" s="692"/>
      <c r="F17" s="115" t="s">
        <v>2129</v>
      </c>
      <c r="G17" s="852" t="e">
        <f>(G8/'Input Data'!E12)+(G14/'Input Data'!E15)</f>
        <v>#DIV/0!</v>
      </c>
      <c r="H17" s="121" t="s">
        <v>2130</v>
      </c>
      <c r="I17" s="310"/>
    </row>
    <row r="18" spans="1:9" ht="15.75" x14ac:dyDescent="0.3">
      <c r="A18" s="681" t="s">
        <v>2131</v>
      </c>
      <c r="B18" s="829" t="e">
        <f>SUM(B6:B17)</f>
        <v>#DIV/0!</v>
      </c>
      <c r="C18" s="39" t="s">
        <v>1846</v>
      </c>
      <c r="D18" s="310"/>
      <c r="E18" s="692"/>
      <c r="F18" s="115" t="s">
        <v>2129</v>
      </c>
      <c r="G18" s="832">
        <f>IF('Input Data'!E16=0,0,G17/1000*'Input Data'!E15/'Input Data'!E16*'P3 Mill'!C180/100)</f>
        <v>0</v>
      </c>
      <c r="H18" s="121" t="s">
        <v>1647</v>
      </c>
      <c r="I18" s="310"/>
    </row>
    <row r="19" spans="1:9" ht="15.75" thickBot="1" x14ac:dyDescent="0.3">
      <c r="A19" s="97" t="s">
        <v>1949</v>
      </c>
      <c r="B19" s="401" t="e">
        <f>B18/'Input Data'!E12</f>
        <v>#DIV/0!</v>
      </c>
      <c r="C19" s="682" t="s">
        <v>1950</v>
      </c>
      <c r="D19" s="310"/>
      <c r="E19" s="692"/>
      <c r="F19" s="709"/>
      <c r="G19" s="709"/>
      <c r="H19" s="709"/>
      <c r="I19" s="709"/>
    </row>
    <row r="20" spans="1:9" ht="15.75" thickBot="1" x14ac:dyDescent="0.3">
      <c r="A20" s="681" t="s">
        <v>1960</v>
      </c>
      <c r="B20" s="405" t="e">
        <f>'P3 Agric'!C218</f>
        <v>#DIV/0!</v>
      </c>
      <c r="C20" s="39" t="s">
        <v>1961</v>
      </c>
      <c r="D20" s="310"/>
      <c r="E20" s="692"/>
      <c r="F20" s="18" t="s">
        <v>2124</v>
      </c>
      <c r="G20" s="650"/>
      <c r="H20" s="650"/>
      <c r="I20" s="651"/>
    </row>
    <row r="21" spans="1:9" ht="15.75" x14ac:dyDescent="0.3">
      <c r="A21" s="29" t="s">
        <v>2132</v>
      </c>
      <c r="B21" s="831" t="e">
        <f>B19+B20</f>
        <v>#DIV/0!</v>
      </c>
      <c r="C21" s="39" t="s">
        <v>1961</v>
      </c>
      <c r="D21" s="310"/>
      <c r="E21" s="692"/>
      <c r="F21" s="29" t="s">
        <v>2133</v>
      </c>
      <c r="G21" s="1055">
        <f>'P3 Agric'!C83*'P3 Agric'!C82</f>
        <v>0</v>
      </c>
      <c r="H21" s="39" t="s">
        <v>1846</v>
      </c>
      <c r="I21" s="310"/>
    </row>
    <row r="22" spans="1:9" ht="15.75" x14ac:dyDescent="0.3">
      <c r="A22" s="310"/>
      <c r="B22" s="310"/>
      <c r="C22" s="310"/>
      <c r="D22" s="310"/>
      <c r="E22" s="692"/>
      <c r="F22" s="681" t="s">
        <v>2134</v>
      </c>
      <c r="G22" s="829">
        <f>'P3 Agric'!C89</f>
        <v>0</v>
      </c>
      <c r="H22" s="39" t="s">
        <v>1846</v>
      </c>
      <c r="I22" s="310"/>
    </row>
    <row r="23" spans="1:9" ht="15.75" x14ac:dyDescent="0.3">
      <c r="A23" s="310" t="s">
        <v>2126</v>
      </c>
      <c r="B23" s="310"/>
      <c r="C23" s="310"/>
      <c r="D23" s="310"/>
      <c r="E23" s="692"/>
      <c r="F23" s="681" t="s">
        <v>2135</v>
      </c>
      <c r="G23" s="829">
        <f>'P3 Agric'!C93</f>
        <v>0</v>
      </c>
      <c r="H23" s="39" t="s">
        <v>1846</v>
      </c>
      <c r="I23" s="310"/>
    </row>
    <row r="24" spans="1:9" ht="16.5" x14ac:dyDescent="0.3">
      <c r="A24" s="680" t="s">
        <v>1571</v>
      </c>
      <c r="B24" s="493">
        <f>'P3 Mill'!C105</f>
        <v>0</v>
      </c>
      <c r="C24" s="682" t="s">
        <v>1572</v>
      </c>
      <c r="D24" s="310"/>
      <c r="E24" s="692"/>
      <c r="F24" s="681" t="s">
        <v>2136</v>
      </c>
      <c r="G24" s="1055">
        <f>'P3 Agric'!C95*'P3 Agric'!C97</f>
        <v>0</v>
      </c>
      <c r="H24" s="39" t="s">
        <v>1846</v>
      </c>
      <c r="I24" s="310"/>
    </row>
    <row r="25" spans="1:9" ht="16.5" x14ac:dyDescent="0.3">
      <c r="A25" s="680" t="s">
        <v>1582</v>
      </c>
      <c r="B25" s="493">
        <f>'P3 Mill'!C110</f>
        <v>0</v>
      </c>
      <c r="C25" s="682" t="s">
        <v>1572</v>
      </c>
      <c r="D25" s="310"/>
      <c r="E25" s="692"/>
      <c r="F25" s="681" t="s">
        <v>1863</v>
      </c>
      <c r="G25" s="829">
        <f>'P3 Agric'!C102</f>
        <v>0</v>
      </c>
      <c r="H25" s="39" t="s">
        <v>1846</v>
      </c>
      <c r="I25" s="310"/>
    </row>
    <row r="26" spans="1:9" ht="16.5" x14ac:dyDescent="0.3">
      <c r="A26" s="680" t="s">
        <v>1586</v>
      </c>
      <c r="B26" s="493">
        <f>'P3 Mill'!C115</f>
        <v>0</v>
      </c>
      <c r="C26" s="682" t="s">
        <v>1587</v>
      </c>
      <c r="D26" s="310"/>
      <c r="E26" s="692"/>
      <c r="F26" s="681" t="s">
        <v>1865</v>
      </c>
      <c r="G26" s="829">
        <f>'P3 Agric'!C106</f>
        <v>0</v>
      </c>
      <c r="H26" s="39" t="s">
        <v>1846</v>
      </c>
      <c r="I26" s="310"/>
    </row>
    <row r="27" spans="1:9" ht="16.5" x14ac:dyDescent="0.3">
      <c r="A27" s="680" t="s">
        <v>1590</v>
      </c>
      <c r="B27" s="493">
        <f>'P3 Mill'!C119</f>
        <v>0</v>
      </c>
      <c r="C27" s="682" t="s">
        <v>1572</v>
      </c>
      <c r="D27" s="310"/>
      <c r="E27" s="692"/>
      <c r="F27" s="681" t="s">
        <v>1869</v>
      </c>
      <c r="G27" s="829">
        <f>'P3 Agric'!C110</f>
        <v>0</v>
      </c>
      <c r="H27" s="39" t="s">
        <v>1846</v>
      </c>
      <c r="I27" s="310"/>
    </row>
    <row r="28" spans="1:9" ht="16.5" x14ac:dyDescent="0.3">
      <c r="A28" s="680" t="s">
        <v>1600</v>
      </c>
      <c r="B28" s="493">
        <f>'P3 Mill'!C128</f>
        <v>0</v>
      </c>
      <c r="C28" s="682" t="s">
        <v>1572</v>
      </c>
      <c r="D28" s="310"/>
      <c r="E28" s="692"/>
      <c r="F28" s="681" t="s">
        <v>1497</v>
      </c>
      <c r="G28" s="829">
        <f>'P3 Agric'!C114</f>
        <v>0</v>
      </c>
      <c r="H28" s="39" t="s">
        <v>1846</v>
      </c>
      <c r="I28" s="310"/>
    </row>
    <row r="29" spans="1:9" ht="16.5" x14ac:dyDescent="0.3">
      <c r="A29" s="680" t="s">
        <v>1612</v>
      </c>
      <c r="B29" s="493">
        <f>'P3 Mill'!C138</f>
        <v>0</v>
      </c>
      <c r="C29" s="682" t="s">
        <v>1572</v>
      </c>
      <c r="D29" s="310"/>
      <c r="E29" s="692"/>
      <c r="F29" s="681" t="s">
        <v>1878</v>
      </c>
      <c r="G29" s="829">
        <f>'P3 Agric'!C125</f>
        <v>0</v>
      </c>
      <c r="H29" s="39" t="s">
        <v>1846</v>
      </c>
      <c r="I29" s="310"/>
    </row>
    <row r="30" spans="1:9" ht="16.5" x14ac:dyDescent="0.25">
      <c r="A30" s="680" t="s">
        <v>1615</v>
      </c>
      <c r="B30" s="493">
        <f>'P3 Mill'!C142</f>
        <v>0</v>
      </c>
      <c r="C30" s="682" t="s">
        <v>1572</v>
      </c>
      <c r="D30" s="310"/>
      <c r="E30" s="692"/>
      <c r="F30" s="680" t="s">
        <v>2137</v>
      </c>
      <c r="G30" s="493">
        <f>'P3 Mill'!C132/1000</f>
        <v>0</v>
      </c>
      <c r="H30" s="682" t="s">
        <v>1623</v>
      </c>
      <c r="I30" s="310"/>
    </row>
    <row r="31" spans="1:9" ht="16.5" x14ac:dyDescent="0.3">
      <c r="A31" s="115"/>
      <c r="B31" s="830"/>
      <c r="C31" s="121"/>
      <c r="D31" s="310"/>
      <c r="E31" s="692"/>
      <c r="F31" s="680" t="s">
        <v>1621</v>
      </c>
      <c r="G31" s="493">
        <f>'P3 Mill'!C146/1000</f>
        <v>0</v>
      </c>
      <c r="H31" s="682" t="s">
        <v>1623</v>
      </c>
      <c r="I31" s="310"/>
    </row>
    <row r="32" spans="1:9" ht="16.5" x14ac:dyDescent="0.3">
      <c r="A32" s="846" t="s">
        <v>2138</v>
      </c>
      <c r="B32" s="844" t="e">
        <f>(SUM(B24:B30)/1000)+B18</f>
        <v>#DIV/0!</v>
      </c>
      <c r="C32" s="121" t="s">
        <v>2128</v>
      </c>
      <c r="D32" s="845"/>
      <c r="E32" s="692"/>
      <c r="F32" s="680" t="s">
        <v>2139</v>
      </c>
      <c r="G32" s="1052">
        <f>'P3 Agric'!C214*'P3 Agric'!C215*1000</f>
        <v>0</v>
      </c>
      <c r="H32" s="682" t="s">
        <v>1899</v>
      </c>
      <c r="I32" s="310"/>
    </row>
    <row r="33" spans="1:13" ht="15.75" x14ac:dyDescent="0.3">
      <c r="A33" s="845"/>
      <c r="B33" s="845"/>
      <c r="C33" s="845"/>
      <c r="D33" s="845"/>
      <c r="E33" s="692"/>
      <c r="F33" s="843"/>
      <c r="G33" s="849"/>
      <c r="H33" s="847"/>
      <c r="I33" s="310"/>
      <c r="J33" s="692"/>
      <c r="K33" s="692"/>
      <c r="L33" s="692"/>
      <c r="M33" s="692"/>
    </row>
    <row r="34" spans="1:13" ht="16.5" x14ac:dyDescent="0.3">
      <c r="A34" s="681" t="s">
        <v>2140</v>
      </c>
      <c r="B34" s="831" t="e">
        <f>SUM(B24:B31)/1000/'Input Data'!E15</f>
        <v>#DIV/0!</v>
      </c>
      <c r="C34" s="682" t="s">
        <v>1628</v>
      </c>
      <c r="D34" s="310"/>
      <c r="E34" s="692"/>
      <c r="F34" s="843" t="s">
        <v>2141</v>
      </c>
      <c r="G34" s="1056">
        <f>SUM(G21:G32)</f>
        <v>0</v>
      </c>
      <c r="H34" s="847" t="s">
        <v>2142</v>
      </c>
      <c r="I34" s="310"/>
      <c r="J34" s="692"/>
      <c r="K34" s="692"/>
      <c r="L34" s="692"/>
      <c r="M34" s="692"/>
    </row>
    <row r="35" spans="1:13" ht="16.5" x14ac:dyDescent="0.3">
      <c r="A35" s="47"/>
      <c r="B35" s="556"/>
      <c r="C35" s="682"/>
      <c r="D35" s="310"/>
      <c r="E35" s="692"/>
      <c r="F35" s="115" t="s">
        <v>2143</v>
      </c>
      <c r="G35" s="850" t="e">
        <f>SUM(G22:G31)/'Input Data'!E12</f>
        <v>#DIV/0!</v>
      </c>
      <c r="H35" s="121" t="s">
        <v>2130</v>
      </c>
      <c r="I35" s="310"/>
      <c r="J35" s="692"/>
      <c r="K35" s="692"/>
      <c r="L35" s="692"/>
      <c r="M35" s="692"/>
    </row>
    <row r="36" spans="1:13" ht="16.5" x14ac:dyDescent="0.3">
      <c r="A36" s="681" t="s">
        <v>2144</v>
      </c>
      <c r="B36" s="831" t="e">
        <f>B21</f>
        <v>#DIV/0!</v>
      </c>
      <c r="C36" s="682" t="s">
        <v>1628</v>
      </c>
      <c r="D36" s="310"/>
      <c r="E36" s="692"/>
      <c r="F36" s="115" t="s">
        <v>2143</v>
      </c>
      <c r="G36" s="838">
        <f>IF('Input Data'!E17=0,0,G35/1000*'Input Data'!E16/'Input Data'!E17*'P3 Mill'!C180/100)</f>
        <v>0</v>
      </c>
      <c r="H36" s="121" t="s">
        <v>1647</v>
      </c>
      <c r="I36" s="310"/>
      <c r="J36" s="692"/>
      <c r="K36" s="692"/>
      <c r="L36" s="692"/>
      <c r="M36" s="692"/>
    </row>
    <row r="37" spans="1:13" ht="16.5" x14ac:dyDescent="0.3">
      <c r="A37" s="115" t="s">
        <v>2145</v>
      </c>
      <c r="B37" s="851" t="e">
        <f>SUM(B34:B36)</f>
        <v>#DIV/0!</v>
      </c>
      <c r="C37" s="121" t="s">
        <v>2130</v>
      </c>
      <c r="D37" s="310"/>
      <c r="E37" s="692"/>
      <c r="F37" s="692"/>
      <c r="G37" s="692"/>
      <c r="H37" s="692"/>
      <c r="I37" s="692"/>
      <c r="J37" s="692"/>
      <c r="K37" s="692"/>
      <c r="L37" s="692"/>
      <c r="M37" s="692"/>
    </row>
    <row r="38" spans="1:13" ht="15.75" x14ac:dyDescent="0.3">
      <c r="A38" s="115" t="s">
        <v>2145</v>
      </c>
      <c r="B38" s="838">
        <f>IF('Input Data'!E16=0,0,B37/1000*'Input Data'!E15/'Input Data'!E16*'P3 Mill'!C180/100)</f>
        <v>0</v>
      </c>
      <c r="C38" s="121" t="s">
        <v>1647</v>
      </c>
      <c r="D38" s="310"/>
      <c r="E38" s="692"/>
      <c r="F38" s="1058" t="s">
        <v>2146</v>
      </c>
      <c r="G38" s="1059"/>
      <c r="H38" s="1059"/>
      <c r="I38" s="1060" t="s">
        <v>2147</v>
      </c>
      <c r="J38" s="1061"/>
      <c r="K38" s="692"/>
      <c r="L38" s="692"/>
      <c r="M38" s="692"/>
    </row>
    <row r="39" spans="1:13" x14ac:dyDescent="0.25">
      <c r="A39" s="692"/>
      <c r="B39" s="692"/>
      <c r="C39" s="692"/>
      <c r="D39" s="692"/>
      <c r="E39" s="692"/>
      <c r="F39" s="1062"/>
      <c r="G39" s="1063"/>
      <c r="H39" s="1063"/>
      <c r="I39" s="1064"/>
      <c r="J39" s="1061"/>
      <c r="K39" s="692"/>
      <c r="L39" s="692"/>
      <c r="M39" s="692"/>
    </row>
    <row r="40" spans="1:13" ht="16.5" x14ac:dyDescent="0.25">
      <c r="A40" s="692"/>
      <c r="B40" s="692"/>
      <c r="C40" s="692"/>
      <c r="D40" s="692"/>
      <c r="E40" s="692"/>
      <c r="F40" s="1065" t="e">
        <f>SUM(B37, G17, G35)</f>
        <v>#DIV/0!</v>
      </c>
      <c r="G40" s="1066" t="s">
        <v>2130</v>
      </c>
      <c r="H40" s="1063"/>
      <c r="I40" s="1067">
        <f>'P3 Mill'!C158</f>
        <v>91</v>
      </c>
      <c r="J40" s="1066" t="s">
        <v>2130</v>
      </c>
      <c r="K40" s="692"/>
      <c r="L40" s="692"/>
      <c r="M40" s="692"/>
    </row>
    <row r="41" spans="1:13" x14ac:dyDescent="0.25">
      <c r="A41" s="692"/>
      <c r="B41" s="692"/>
      <c r="C41" s="692"/>
      <c r="D41" s="692"/>
      <c r="E41" s="692"/>
      <c r="F41" s="1068">
        <f>SUM(B38, G18, G36)</f>
        <v>0</v>
      </c>
      <c r="G41" s="1066" t="s">
        <v>1647</v>
      </c>
      <c r="H41" s="1063"/>
      <c r="I41" s="1069">
        <f>IF('Input Data'!E16=0,0,I40/1000*'Input Data'!E15/'Input Data'!E16*'P3 Mill'!C180/100)</f>
        <v>0</v>
      </c>
      <c r="J41" s="1066" t="s">
        <v>1647</v>
      </c>
      <c r="K41" s="692"/>
      <c r="L41" s="692"/>
      <c r="M41" s="692"/>
    </row>
    <row r="42" spans="1:13" x14ac:dyDescent="0.25">
      <c r="A42" s="692"/>
      <c r="B42" s="692"/>
      <c r="C42" s="692"/>
      <c r="D42" s="692"/>
      <c r="E42" s="692"/>
      <c r="F42" s="1070"/>
      <c r="G42" s="1071"/>
      <c r="H42" s="1071"/>
      <c r="I42" s="1072"/>
      <c r="J42" s="1061"/>
      <c r="K42" s="692"/>
      <c r="L42" s="692"/>
      <c r="M42" s="692"/>
    </row>
    <row r="43" spans="1:13" x14ac:dyDescent="0.25">
      <c r="A43" s="692"/>
      <c r="B43" s="692"/>
      <c r="C43" s="1075" t="s">
        <v>2146</v>
      </c>
      <c r="D43" s="1061"/>
      <c r="E43" s="1061"/>
      <c r="F43" s="1061"/>
      <c r="G43" s="1061"/>
      <c r="H43" s="1061"/>
      <c r="I43" s="1061"/>
      <c r="J43" s="1061"/>
      <c r="K43" s="692"/>
      <c r="L43" s="692"/>
      <c r="M43" s="692"/>
    </row>
    <row r="44" spans="1:13" x14ac:dyDescent="0.25">
      <c r="A44" s="692"/>
      <c r="B44" s="692"/>
      <c r="C44" s="1061" t="s">
        <v>2148</v>
      </c>
      <c r="D44" s="1074" t="e">
        <f>B32</f>
        <v>#DIV/0!</v>
      </c>
      <c r="E44" s="1061"/>
      <c r="F44" s="1061"/>
      <c r="G44" s="1073" t="s">
        <v>2149</v>
      </c>
      <c r="H44" s="1061"/>
      <c r="I44" s="1061"/>
      <c r="J44" s="1061"/>
      <c r="K44" s="692"/>
      <c r="L44" s="692"/>
      <c r="M44" s="692"/>
    </row>
    <row r="45" spans="1:13" x14ac:dyDescent="0.25">
      <c r="A45" s="692"/>
      <c r="B45" s="692"/>
      <c r="C45" s="1061" t="s">
        <v>2150</v>
      </c>
      <c r="D45" s="1074" t="e">
        <f>G16</f>
        <v>#DIV/0!</v>
      </c>
      <c r="E45" s="1061"/>
      <c r="F45" s="1061"/>
      <c r="G45" s="1061" t="s">
        <v>2151</v>
      </c>
      <c r="H45" s="1061"/>
      <c r="I45" s="1074" t="e">
        <f>'P3 Agric'!C211</f>
        <v>#DIV/0!</v>
      </c>
      <c r="J45" s="1061" t="s">
        <v>2152</v>
      </c>
      <c r="K45" s="692"/>
      <c r="L45" s="692"/>
      <c r="M45" s="692"/>
    </row>
    <row r="46" spans="1:13" x14ac:dyDescent="0.25">
      <c r="A46" s="692"/>
      <c r="B46" s="692"/>
      <c r="C46" s="1061" t="s">
        <v>2153</v>
      </c>
      <c r="D46" s="1074">
        <f>G34</f>
        <v>0</v>
      </c>
      <c r="E46" s="1061"/>
      <c r="F46" s="1061"/>
      <c r="G46" s="1061" t="s">
        <v>2154</v>
      </c>
      <c r="H46" s="1061"/>
      <c r="I46" s="1074" t="e">
        <f>'P3 Mill'!C152/1000</f>
        <v>#DIV/0!</v>
      </c>
      <c r="J46" s="1061" t="s">
        <v>2152</v>
      </c>
      <c r="K46" s="692"/>
      <c r="L46" s="692"/>
      <c r="M46" s="692"/>
    </row>
    <row r="47" spans="1:13" x14ac:dyDescent="0.25">
      <c r="A47" s="692"/>
      <c r="B47" s="692"/>
      <c r="C47" s="1061"/>
      <c r="D47" s="1061"/>
      <c r="E47" s="1061"/>
      <c r="F47" s="1061"/>
      <c r="G47" s="1061" t="s">
        <v>2155</v>
      </c>
      <c r="H47" s="1061"/>
      <c r="I47" s="1074" t="e">
        <f>'P3 Mill'!C148</f>
        <v>#DIV/0!</v>
      </c>
      <c r="J47" s="1061" t="s">
        <v>2152</v>
      </c>
      <c r="K47" s="1061"/>
      <c r="L47" s="1061"/>
      <c r="M47" s="1061" t="s">
        <v>2156</v>
      </c>
    </row>
    <row r="48" spans="1:13" x14ac:dyDescent="0.25">
      <c r="A48" s="692"/>
      <c r="B48" s="692"/>
      <c r="C48" s="1061" t="s">
        <v>2157</v>
      </c>
      <c r="D48" s="1076" t="e">
        <f>SUM(D44:D46)</f>
        <v>#DIV/0!</v>
      </c>
      <c r="E48" s="1061"/>
      <c r="F48" s="1061"/>
      <c r="G48" s="1061" t="s">
        <v>2158</v>
      </c>
      <c r="H48" s="1061"/>
      <c r="I48" s="1074">
        <f>'P3 Agric'!C214*'P3 Agric'!C215*1000</f>
        <v>0</v>
      </c>
      <c r="J48" s="1061" t="s">
        <v>2152</v>
      </c>
      <c r="K48" s="1061"/>
      <c r="L48" s="1061"/>
      <c r="M48" s="1074" t="e">
        <f>I49-D48</f>
        <v>#DIV/0!</v>
      </c>
    </row>
    <row r="49" spans="3:10" x14ac:dyDescent="0.25">
      <c r="C49" s="692"/>
      <c r="D49" s="692"/>
      <c r="E49" s="692"/>
      <c r="F49" s="1061"/>
      <c r="G49" s="1061" t="s">
        <v>2159</v>
      </c>
      <c r="H49" s="1061"/>
      <c r="I49" s="1073" t="e">
        <f>SUM(I45:I48)</f>
        <v>#DIV/0!</v>
      </c>
      <c r="J49" s="1061" t="s">
        <v>2152</v>
      </c>
    </row>
    <row r="51" spans="3:10" x14ac:dyDescent="0.25">
      <c r="C51" s="692"/>
      <c r="D51" s="692"/>
      <c r="E51" s="692"/>
      <c r="F51" s="692"/>
      <c r="G51" s="692"/>
      <c r="H51" s="692"/>
      <c r="I51" s="692"/>
      <c r="J51" s="692"/>
    </row>
    <row r="52" spans="3:10" x14ac:dyDescent="0.25">
      <c r="C52" s="692"/>
      <c r="D52" s="692"/>
      <c r="E52" s="692"/>
      <c r="F52" s="692"/>
      <c r="G52" s="692"/>
      <c r="H52" s="692"/>
      <c r="I52" s="692"/>
      <c r="J52" s="692"/>
    </row>
    <row r="53" spans="3:10" x14ac:dyDescent="0.25">
      <c r="C53" s="692"/>
      <c r="D53" s="692"/>
      <c r="E53" s="692"/>
      <c r="F53" s="692"/>
      <c r="G53" s="692"/>
      <c r="H53" s="692"/>
      <c r="I53" s="692"/>
      <c r="J53" s="692"/>
    </row>
    <row r="54" spans="3:10" x14ac:dyDescent="0.25">
      <c r="C54" s="692"/>
      <c r="D54" s="692"/>
      <c r="E54" s="692"/>
      <c r="F54" s="692"/>
      <c r="G54" s="692"/>
      <c r="H54" s="692"/>
      <c r="I54" s="692"/>
      <c r="J54" s="692"/>
    </row>
    <row r="57" spans="3:10" x14ac:dyDescent="0.25">
      <c r="C57" s="692" t="s">
        <v>2160</v>
      </c>
      <c r="D57" s="692"/>
      <c r="E57" s="692"/>
      <c r="F57" s="692"/>
      <c r="G57" s="692"/>
      <c r="H57" s="692"/>
      <c r="I57" s="692"/>
      <c r="J57" s="692"/>
    </row>
    <row r="58" spans="3:10" x14ac:dyDescent="0.25">
      <c r="C58" s="692" t="s">
        <v>2148</v>
      </c>
      <c r="D58" s="692"/>
      <c r="E58" s="692"/>
      <c r="F58" s="692"/>
      <c r="G58" s="692"/>
      <c r="H58" s="692"/>
      <c r="I58" s="692"/>
      <c r="J58" s="692"/>
    </row>
    <row r="59" spans="3:10" x14ac:dyDescent="0.25">
      <c r="C59" s="692" t="s">
        <v>2150</v>
      </c>
      <c r="D59" s="692"/>
      <c r="E59" s="692"/>
      <c r="F59" s="692"/>
      <c r="G59" s="692"/>
      <c r="H59" s="692"/>
      <c r="I59" s="692"/>
      <c r="J59" s="692"/>
    </row>
    <row r="60" spans="3:10" x14ac:dyDescent="0.25">
      <c r="C60" s="692" t="s">
        <v>2153</v>
      </c>
      <c r="D60" s="692"/>
      <c r="E60" s="692"/>
      <c r="F60" s="692"/>
      <c r="G60" s="692"/>
      <c r="H60" s="692"/>
      <c r="I60" s="692"/>
      <c r="J60" s="692"/>
    </row>
  </sheetData>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68"/>
  <sheetViews>
    <sheetView showGridLines="0" topLeftCell="A38" workbookViewId="0">
      <selection activeCell="C56" sqref="C56"/>
    </sheetView>
  </sheetViews>
  <sheetFormatPr defaultColWidth="8.85546875" defaultRowHeight="15" x14ac:dyDescent="0.25"/>
  <cols>
    <col min="1" max="1" width="25.85546875" style="607" customWidth="1"/>
    <col min="2" max="2" width="38.85546875" style="607" bestFit="1" customWidth="1"/>
    <col min="3" max="5" width="13.42578125" style="607" customWidth="1"/>
    <col min="6" max="6" width="18.140625" style="607" customWidth="1"/>
    <col min="7" max="7" width="16.5703125" style="607" customWidth="1"/>
    <col min="8" max="8" width="10.85546875" style="607" customWidth="1"/>
    <col min="9" max="9" width="60.42578125" style="607" bestFit="1" customWidth="1"/>
    <col min="10" max="16384" width="8.85546875" style="607"/>
  </cols>
  <sheetData>
    <row r="1" spans="1:9" ht="72.75" customHeight="1" thickBot="1" x14ac:dyDescent="0.3">
      <c r="A1" s="275" t="s">
        <v>2161</v>
      </c>
      <c r="B1" s="1451" t="s">
        <v>2162</v>
      </c>
      <c r="C1" s="1452"/>
      <c r="D1" s="1452"/>
      <c r="E1" s="1452"/>
      <c r="F1" s="1453"/>
      <c r="G1" s="1453"/>
      <c r="H1" s="1453"/>
      <c r="I1" s="1453"/>
    </row>
    <row r="2" spans="1:9" ht="15.75" thickBot="1" x14ac:dyDescent="0.3">
      <c r="A2" s="18" t="s">
        <v>2163</v>
      </c>
      <c r="B2" s="608" t="s">
        <v>229</v>
      </c>
      <c r="C2" s="19"/>
      <c r="D2" s="19"/>
      <c r="E2" s="19"/>
      <c r="F2" s="19" t="s">
        <v>232</v>
      </c>
      <c r="G2" s="19" t="s">
        <v>342</v>
      </c>
      <c r="H2" s="19" t="s">
        <v>1265</v>
      </c>
      <c r="I2" s="609" t="s">
        <v>344</v>
      </c>
    </row>
    <row r="3" spans="1:9" ht="190.5" customHeight="1" thickBot="1" x14ac:dyDescent="0.3">
      <c r="A3" s="6" t="s">
        <v>2164</v>
      </c>
      <c r="B3" s="610" t="s">
        <v>2165</v>
      </c>
      <c r="C3" s="355"/>
      <c r="D3" s="355"/>
      <c r="E3" s="355"/>
      <c r="F3" s="355">
        <v>31.9</v>
      </c>
      <c r="G3" s="126" t="s">
        <v>1244</v>
      </c>
      <c r="H3" s="265" t="e">
        <f>H32</f>
        <v>#VALUE!</v>
      </c>
      <c r="I3" s="353" t="s">
        <v>2166</v>
      </c>
    </row>
    <row r="4" spans="1:9" ht="15.75" thickBot="1" x14ac:dyDescent="0.3">
      <c r="A4" s="2" t="s">
        <v>2167</v>
      </c>
      <c r="B4" s="611" t="s">
        <v>2168</v>
      </c>
      <c r="C4" s="660"/>
      <c r="D4" s="661"/>
      <c r="E4" s="661"/>
      <c r="F4" s="662"/>
      <c r="G4" s="612"/>
      <c r="H4" s="612"/>
      <c r="I4" s="613"/>
    </row>
    <row r="5" spans="1:9" ht="27" x14ac:dyDescent="0.3">
      <c r="A5" s="310"/>
      <c r="B5" s="614" t="s">
        <v>909</v>
      </c>
      <c r="C5" s="615">
        <f>'Input Data'!E214</f>
        <v>0</v>
      </c>
      <c r="D5" s="615"/>
      <c r="E5" s="616"/>
      <c r="F5" s="616"/>
      <c r="G5" s="126" t="s">
        <v>371</v>
      </c>
      <c r="H5" s="617"/>
      <c r="I5" s="618" t="s">
        <v>2169</v>
      </c>
    </row>
    <row r="6" spans="1:9" ht="15.75" x14ac:dyDescent="0.3">
      <c r="A6" s="310"/>
      <c r="B6" s="614" t="s">
        <v>912</v>
      </c>
      <c r="C6" s="615">
        <f>'Input Data'!E215</f>
        <v>0</v>
      </c>
      <c r="D6" s="615"/>
      <c r="E6" s="616"/>
      <c r="F6" s="616"/>
      <c r="G6" s="126" t="s">
        <v>428</v>
      </c>
      <c r="H6" s="617"/>
      <c r="I6" s="618" t="s">
        <v>2170</v>
      </c>
    </row>
    <row r="7" spans="1:9" ht="15.75" x14ac:dyDescent="0.3">
      <c r="A7" s="310"/>
      <c r="B7" s="614" t="s">
        <v>2171</v>
      </c>
      <c r="C7" s="619">
        <f>'P3 Mill'!C188</f>
        <v>21.2</v>
      </c>
      <c r="D7" s="619"/>
      <c r="E7" s="619"/>
      <c r="F7" s="619"/>
      <c r="G7" s="126" t="s">
        <v>1663</v>
      </c>
      <c r="H7" s="617"/>
      <c r="I7" s="620" t="s">
        <v>2172</v>
      </c>
    </row>
    <row r="8" spans="1:9" ht="15.75" x14ac:dyDescent="0.3">
      <c r="A8" s="310"/>
      <c r="B8" s="614" t="s">
        <v>2173</v>
      </c>
      <c r="C8" s="619" t="str">
        <f>IF(C5=0,"",((C6*1000)/C5*C7))</f>
        <v/>
      </c>
      <c r="D8" s="619"/>
      <c r="E8" s="601" t="str">
        <f>IF(E5=0,"",((E6*1000)/E5*E7))</f>
        <v/>
      </c>
      <c r="F8" s="601" t="str">
        <f>IF(F5=0,"",((F6*1000)/F5*F7))</f>
        <v/>
      </c>
      <c r="G8" s="126" t="s">
        <v>2174</v>
      </c>
      <c r="H8" s="617"/>
      <c r="I8" s="620" t="s">
        <v>2175</v>
      </c>
    </row>
    <row r="9" spans="1:9" ht="16.5" thickBot="1" x14ac:dyDescent="0.35">
      <c r="A9" s="310"/>
      <c r="B9" s="295" t="s">
        <v>1664</v>
      </c>
      <c r="C9" s="619" t="e">
        <f>'P3 Mill'!C190</f>
        <v>#DIV/0!</v>
      </c>
      <c r="D9" s="615"/>
      <c r="E9" s="601"/>
      <c r="F9" s="601"/>
      <c r="G9" s="126" t="s">
        <v>210</v>
      </c>
      <c r="H9" s="617"/>
      <c r="I9" s="622" t="s">
        <v>2176</v>
      </c>
    </row>
    <row r="10" spans="1:9" ht="27.75" thickBot="1" x14ac:dyDescent="0.3">
      <c r="A10" s="2" t="s">
        <v>2167</v>
      </c>
      <c r="B10" s="611" t="s">
        <v>229</v>
      </c>
      <c r="C10" s="386" t="s">
        <v>2177</v>
      </c>
      <c r="D10" s="386" t="s">
        <v>2178</v>
      </c>
      <c r="E10" s="386" t="s">
        <v>2179</v>
      </c>
      <c r="F10" s="386" t="s">
        <v>2180</v>
      </c>
      <c r="G10" s="612"/>
      <c r="H10" s="612"/>
      <c r="I10" s="613"/>
    </row>
    <row r="11" spans="1:9" ht="15.75" thickBot="1" x14ac:dyDescent="0.3">
      <c r="A11" s="38"/>
      <c r="B11" s="614" t="s">
        <v>2181</v>
      </c>
      <c r="C11" s="341" t="s">
        <v>2182</v>
      </c>
      <c r="D11" s="341" t="s">
        <v>2183</v>
      </c>
      <c r="E11" s="341" t="s">
        <v>2184</v>
      </c>
      <c r="F11" s="341" t="s">
        <v>2185</v>
      </c>
      <c r="G11" s="126"/>
      <c r="H11" s="604"/>
      <c r="I11" s="618" t="s">
        <v>2186</v>
      </c>
    </row>
    <row r="12" spans="1:9" ht="16.5" thickBot="1" x14ac:dyDescent="0.35">
      <c r="A12" s="38"/>
      <c r="B12" s="614" t="s">
        <v>2187</v>
      </c>
      <c r="C12" s="341">
        <v>47</v>
      </c>
      <c r="D12" s="825">
        <v>47</v>
      </c>
      <c r="E12" s="825">
        <v>47</v>
      </c>
      <c r="F12" s="825">
        <v>47</v>
      </c>
      <c r="G12" s="126" t="s">
        <v>2188</v>
      </c>
      <c r="H12" s="604"/>
      <c r="I12" s="618" t="s">
        <v>2189</v>
      </c>
    </row>
    <row r="13" spans="1:9" ht="16.5" thickBot="1" x14ac:dyDescent="0.35">
      <c r="A13" s="310"/>
      <c r="B13" s="614" t="s">
        <v>2190</v>
      </c>
      <c r="C13" s="741">
        <v>1</v>
      </c>
      <c r="D13" s="825">
        <v>0.48</v>
      </c>
      <c r="E13" s="825">
        <v>0.48</v>
      </c>
      <c r="F13" s="825">
        <v>1</v>
      </c>
      <c r="G13" s="126"/>
      <c r="H13" s="617"/>
      <c r="I13" s="618" t="s">
        <v>2189</v>
      </c>
    </row>
    <row r="14" spans="1:9" ht="16.5" thickBot="1" x14ac:dyDescent="0.35">
      <c r="A14" s="310"/>
      <c r="B14" s="614" t="s">
        <v>2191</v>
      </c>
      <c r="C14" s="741">
        <v>0.5</v>
      </c>
      <c r="D14" s="825">
        <v>1.22</v>
      </c>
      <c r="E14" s="825">
        <v>1.22</v>
      </c>
      <c r="F14" s="825">
        <v>0.5</v>
      </c>
      <c r="G14" s="126"/>
      <c r="H14" s="617"/>
      <c r="I14" s="618" t="s">
        <v>2189</v>
      </c>
    </row>
    <row r="15" spans="1:9" ht="16.5" thickBot="1" x14ac:dyDescent="0.35">
      <c r="A15" s="310"/>
      <c r="B15" s="614" t="s">
        <v>2192</v>
      </c>
      <c r="C15" s="741">
        <v>0.5</v>
      </c>
      <c r="D15" s="825">
        <v>1.44</v>
      </c>
      <c r="E15" s="825">
        <v>1.44</v>
      </c>
      <c r="F15" s="825">
        <v>0.5</v>
      </c>
      <c r="G15" s="126"/>
      <c r="H15" s="617"/>
      <c r="I15" s="618" t="s">
        <v>2189</v>
      </c>
    </row>
    <row r="16" spans="1:9" ht="16.5" thickBot="1" x14ac:dyDescent="0.35">
      <c r="A16" s="310"/>
      <c r="B16" s="614" t="s">
        <v>2193</v>
      </c>
      <c r="C16" s="619">
        <f>C12*C13*C14*C15</f>
        <v>11.75</v>
      </c>
      <c r="D16" s="619">
        <f t="shared" ref="D16:F16" si="0">D12*D13*D14*D15</f>
        <v>39.633407999999996</v>
      </c>
      <c r="E16" s="619">
        <f t="shared" si="0"/>
        <v>39.633407999999996</v>
      </c>
      <c r="F16" s="619">
        <f t="shared" si="0"/>
        <v>11.75</v>
      </c>
      <c r="G16" s="126" t="s">
        <v>2188</v>
      </c>
      <c r="H16" s="617"/>
      <c r="I16" s="621"/>
    </row>
    <row r="17" spans="1:9" ht="16.5" thickBot="1" x14ac:dyDescent="0.35">
      <c r="A17" s="310"/>
      <c r="B17" s="614" t="s">
        <v>2194</v>
      </c>
      <c r="C17" s="741">
        <v>0</v>
      </c>
      <c r="D17" s="741"/>
      <c r="E17" s="741">
        <v>0</v>
      </c>
      <c r="F17" s="741">
        <v>0</v>
      </c>
      <c r="G17" s="126" t="s">
        <v>2188</v>
      </c>
      <c r="H17" s="617"/>
      <c r="I17" s="618" t="s">
        <v>2189</v>
      </c>
    </row>
    <row r="18" spans="1:9" ht="16.5" thickBot="1" x14ac:dyDescent="0.35">
      <c r="A18" s="310"/>
      <c r="B18" s="614" t="s">
        <v>2195</v>
      </c>
      <c r="C18" s="619">
        <f>C16+C17</f>
        <v>11.75</v>
      </c>
      <c r="D18" s="619">
        <f t="shared" ref="D18:F18" si="1">D16+D17</f>
        <v>39.633407999999996</v>
      </c>
      <c r="E18" s="619">
        <f t="shared" si="1"/>
        <v>39.633407999999996</v>
      </c>
      <c r="F18" s="619">
        <f t="shared" si="1"/>
        <v>11.75</v>
      </c>
      <c r="G18" s="126" t="s">
        <v>2188</v>
      </c>
      <c r="H18" s="617"/>
      <c r="I18" s="621"/>
    </row>
    <row r="19" spans="1:9" ht="16.5" thickBot="1" x14ac:dyDescent="0.35">
      <c r="A19" s="310"/>
      <c r="B19" s="614" t="s">
        <v>2196</v>
      </c>
      <c r="C19" s="825">
        <v>47</v>
      </c>
      <c r="D19" s="741">
        <v>47</v>
      </c>
      <c r="E19" s="825">
        <v>47</v>
      </c>
      <c r="F19" s="825">
        <v>47</v>
      </c>
      <c r="G19" s="126" t="s">
        <v>2188</v>
      </c>
      <c r="H19" s="617"/>
      <c r="I19" s="618" t="s">
        <v>2189</v>
      </c>
    </row>
    <row r="20" spans="1:9" ht="16.5" thickBot="1" x14ac:dyDescent="0.35">
      <c r="A20" s="310"/>
      <c r="B20" s="614" t="s">
        <v>2197</v>
      </c>
      <c r="C20" s="825">
        <v>0.48</v>
      </c>
      <c r="D20" s="741">
        <v>0.48</v>
      </c>
      <c r="E20" s="825">
        <v>0.48</v>
      </c>
      <c r="F20" s="825">
        <v>0.48</v>
      </c>
      <c r="G20" s="126"/>
      <c r="H20" s="617"/>
      <c r="I20" s="618" t="s">
        <v>2189</v>
      </c>
    </row>
    <row r="21" spans="1:9" ht="16.5" thickBot="1" x14ac:dyDescent="0.35">
      <c r="A21" s="310"/>
      <c r="B21" s="614" t="s">
        <v>2198</v>
      </c>
      <c r="C21" s="825">
        <v>1.1499999999999999</v>
      </c>
      <c r="D21" s="741">
        <v>0.8</v>
      </c>
      <c r="E21" s="825">
        <v>1.1499999999999999</v>
      </c>
      <c r="F21" s="825">
        <v>1.1499999999999999</v>
      </c>
      <c r="G21" s="126"/>
      <c r="H21" s="617"/>
      <c r="I21" s="618" t="s">
        <v>2189</v>
      </c>
    </row>
    <row r="22" spans="1:9" ht="16.5" thickBot="1" x14ac:dyDescent="0.35">
      <c r="A22" s="310"/>
      <c r="B22" s="614" t="s">
        <v>2199</v>
      </c>
      <c r="C22" s="825">
        <v>1.1100000000000001</v>
      </c>
      <c r="D22" s="741">
        <v>0.2</v>
      </c>
      <c r="E22" s="825">
        <v>1.1100000000000001</v>
      </c>
      <c r="F22" s="825">
        <v>1.1100000000000001</v>
      </c>
      <c r="G22" s="126"/>
      <c r="H22" s="617"/>
      <c r="I22" s="618" t="s">
        <v>2189</v>
      </c>
    </row>
    <row r="23" spans="1:9" ht="16.5" thickBot="1" x14ac:dyDescent="0.35">
      <c r="A23" s="310"/>
      <c r="B23" s="614" t="s">
        <v>2200</v>
      </c>
      <c r="C23" s="619">
        <f>C19*C20*C21*C22</f>
        <v>28.797839999999997</v>
      </c>
      <c r="D23" s="619">
        <f t="shared" ref="D23:F23" si="2">D19*D20*D21*D22</f>
        <v>3.6095999999999999</v>
      </c>
      <c r="E23" s="619">
        <f t="shared" si="2"/>
        <v>28.797839999999997</v>
      </c>
      <c r="F23" s="619">
        <f t="shared" si="2"/>
        <v>28.797839999999997</v>
      </c>
      <c r="G23" s="126" t="s">
        <v>2188</v>
      </c>
      <c r="H23" s="617"/>
      <c r="I23" s="621"/>
    </row>
    <row r="24" spans="1:9" ht="16.5" thickBot="1" x14ac:dyDescent="0.35">
      <c r="A24" s="310"/>
      <c r="B24" s="614" t="s">
        <v>2201</v>
      </c>
      <c r="C24" s="825">
        <v>5</v>
      </c>
      <c r="D24" s="825"/>
      <c r="E24" s="825">
        <v>5</v>
      </c>
      <c r="F24" s="825">
        <v>5</v>
      </c>
      <c r="G24" s="126" t="s">
        <v>2188</v>
      </c>
      <c r="H24" s="617"/>
      <c r="I24" s="618" t="s">
        <v>2189</v>
      </c>
    </row>
    <row r="25" spans="1:9" ht="15.75" x14ac:dyDescent="0.3">
      <c r="A25" s="310"/>
      <c r="B25" s="614" t="s">
        <v>2202</v>
      </c>
      <c r="C25" s="619">
        <f>C23+C24</f>
        <v>33.797839999999994</v>
      </c>
      <c r="D25" s="619">
        <f t="shared" ref="D25:F25" si="3">D23+D24</f>
        <v>3.6095999999999999</v>
      </c>
      <c r="E25" s="619">
        <f t="shared" si="3"/>
        <v>33.797839999999994</v>
      </c>
      <c r="F25" s="619">
        <f t="shared" si="3"/>
        <v>33.797839999999994</v>
      </c>
      <c r="G25" s="126" t="s">
        <v>2188</v>
      </c>
      <c r="H25" s="617"/>
      <c r="I25" s="621"/>
    </row>
    <row r="26" spans="1:9" ht="27" x14ac:dyDescent="0.3">
      <c r="A26" s="310"/>
      <c r="B26" s="614" t="s">
        <v>2203</v>
      </c>
      <c r="C26" s="821" t="str">
        <f>IF($C$5=0,"",(C18-C25)*1000000*3.664*1/20)</f>
        <v/>
      </c>
      <c r="D26" s="821" t="str">
        <f>IF($C$5=0,"",(D18-D25)*1000000*3.664*1/20)</f>
        <v/>
      </c>
      <c r="E26" s="822" t="str">
        <f>IF($C$5=0,"",(E18-E25)*1000000*3.664*1/20)</f>
        <v/>
      </c>
      <c r="F26" s="822" t="str">
        <f>IF($C$5=0,"",(F18-F25)*1000000*3.664*1/20)</f>
        <v/>
      </c>
      <c r="G26" s="790" t="s">
        <v>2204</v>
      </c>
      <c r="H26" s="617"/>
      <c r="I26" s="663" t="s">
        <v>2205</v>
      </c>
    </row>
    <row r="27" spans="1:9" s="692" customFormat="1" ht="15.75" x14ac:dyDescent="0.3">
      <c r="A27" s="310"/>
      <c r="B27" s="614" t="s">
        <v>2206</v>
      </c>
      <c r="C27" s="619"/>
      <c r="D27" s="619"/>
      <c r="E27" s="601"/>
      <c r="F27" s="601"/>
      <c r="G27" s="790"/>
      <c r="H27" s="617"/>
      <c r="I27" s="663"/>
    </row>
    <row r="28" spans="1:9" ht="15.75" x14ac:dyDescent="0.3">
      <c r="A28" s="310"/>
      <c r="B28" s="687" t="s">
        <v>2207</v>
      </c>
      <c r="C28" s="820" t="e">
        <f>IF(C12="","",C26*$C$9/100)</f>
        <v>#VALUE!</v>
      </c>
      <c r="D28" s="623" t="e">
        <f>IF(D12="","",D26*$C$9/100)</f>
        <v>#VALUE!</v>
      </c>
      <c r="E28" s="623" t="e">
        <f>IF(E12="","",E26*$C$9/100)</f>
        <v>#VALUE!</v>
      </c>
      <c r="F28" s="623" t="e">
        <f>IF(F12="","",F26*$C$9/100)</f>
        <v>#VALUE!</v>
      </c>
      <c r="G28" s="790" t="s">
        <v>2204</v>
      </c>
      <c r="H28" s="617"/>
      <c r="I28" s="622" t="s">
        <v>2208</v>
      </c>
    </row>
    <row r="29" spans="1:9" ht="16.5" thickBot="1" x14ac:dyDescent="0.35">
      <c r="A29" s="310"/>
      <c r="B29" s="687" t="s">
        <v>2209</v>
      </c>
      <c r="C29" s="820" t="e">
        <f>IF(C12="",14*1/C8,C28*1/C8+14*1/C8)</f>
        <v>#VALUE!</v>
      </c>
      <c r="D29" s="820" t="e">
        <f>IF(D12="",14*1/C8,D28*1/C8+14*1/C8)</f>
        <v>#VALUE!</v>
      </c>
      <c r="E29" s="820" t="e">
        <f>IF(E12="",14*1/C8,E28*1/C8+14*1/C8)</f>
        <v>#VALUE!</v>
      </c>
      <c r="F29" s="820" t="e">
        <f>IF(F12="",14*1/C8,F28*1/C8+14*1/C8)</f>
        <v>#VALUE!</v>
      </c>
      <c r="G29" s="826" t="s">
        <v>2210</v>
      </c>
      <c r="H29" s="617"/>
      <c r="I29" s="622" t="s">
        <v>2211</v>
      </c>
    </row>
    <row r="30" spans="1:9" x14ac:dyDescent="0.25">
      <c r="A30" s="38"/>
      <c r="B30" s="624" t="s">
        <v>230</v>
      </c>
      <c r="C30" s="86" t="e">
        <f>IF(C12="","",IF((C29)&lt;($F$3),"COMPLIANT","NOT COMPLIANT"))</f>
        <v>#VALUE!</v>
      </c>
      <c r="D30" s="86" t="e">
        <f>IF(D12="","",IF((D29)&lt;($F$3),"COMPLIANT","NOT COMPLIANT"))</f>
        <v>#VALUE!</v>
      </c>
      <c r="E30" s="86" t="e">
        <f>IF(E12="","",IF((E29)&lt;($F$3),"COMPLIANT","NOT COMPLIANT"))</f>
        <v>#VALUE!</v>
      </c>
      <c r="F30" s="86" t="e">
        <f>IF(F12="","",IF((F29)&lt;($F$3),"COMPLIANT","NOT COMPLIANT"))</f>
        <v>#VALUE!</v>
      </c>
      <c r="G30" s="604"/>
      <c r="H30" s="604"/>
      <c r="I30" s="625" t="s">
        <v>2212</v>
      </c>
    </row>
    <row r="31" spans="1:9" s="692" customFormat="1" ht="15.75" thickBot="1" x14ac:dyDescent="0.3">
      <c r="A31" s="38"/>
      <c r="B31" s="827" t="s">
        <v>2213</v>
      </c>
      <c r="C31" s="794" t="e">
        <f>IF(C30="COMPLIANT", C29, "")</f>
        <v>#VALUE!</v>
      </c>
      <c r="D31" s="794" t="e">
        <f t="shared" ref="D31:F31" si="4">IF(D30="COMPLIANT", D29, "")</f>
        <v>#VALUE!</v>
      </c>
      <c r="E31" s="794" t="e">
        <f t="shared" si="4"/>
        <v>#VALUE!</v>
      </c>
      <c r="F31" s="794" t="e">
        <f t="shared" si="4"/>
        <v>#VALUE!</v>
      </c>
      <c r="G31" s="604"/>
      <c r="H31" s="604"/>
      <c r="I31" s="625"/>
    </row>
    <row r="32" spans="1:9" ht="15.75" thickBot="1" x14ac:dyDescent="0.3">
      <c r="A32" s="356" t="s">
        <v>2214</v>
      </c>
      <c r="B32" s="626" t="s">
        <v>2215</v>
      </c>
      <c r="C32" s="828" t="e">
        <f>IF(C12&lt;&gt;0,MAX(C31:F31),0)</f>
        <v>#VALUE!</v>
      </c>
      <c r="D32" s="627"/>
      <c r="E32" s="628"/>
      <c r="F32" s="628"/>
      <c r="G32" s="128" t="s">
        <v>2210</v>
      </c>
      <c r="H32" s="277" t="e">
        <f>IF(C32&lt;F3,"COMPLIANT","NOT COMPLIANT")</f>
        <v>#VALUE!</v>
      </c>
      <c r="I32" s="273" t="s">
        <v>2216</v>
      </c>
    </row>
    <row r="33" spans="1:9" s="709" customFormat="1" x14ac:dyDescent="0.25">
      <c r="A33" s="34"/>
      <c r="B33" s="32"/>
      <c r="C33" s="834"/>
      <c r="D33" s="834"/>
      <c r="E33" s="834"/>
      <c r="F33" s="834"/>
      <c r="G33" s="34"/>
      <c r="H33" s="757"/>
      <c r="I33" s="34"/>
    </row>
    <row r="34" spans="1:9" s="709" customFormat="1" ht="23.25" x14ac:dyDescent="0.25">
      <c r="A34" s="835" t="s">
        <v>2217</v>
      </c>
      <c r="B34" s="32"/>
      <c r="C34" s="834"/>
      <c r="D34" s="834"/>
      <c r="E34" s="834"/>
      <c r="F34" s="834"/>
      <c r="G34" s="34"/>
      <c r="H34" s="757"/>
      <c r="I34" s="34"/>
    </row>
    <row r="35" spans="1:9" s="709" customFormat="1" ht="15.75" thickBot="1" x14ac:dyDescent="0.3">
      <c r="A35" s="34"/>
      <c r="B35" s="32"/>
      <c r="C35" s="834"/>
      <c r="D35" s="834"/>
      <c r="E35" s="834"/>
      <c r="F35" s="834"/>
      <c r="G35" s="34"/>
      <c r="H35" s="757"/>
      <c r="I35" s="34"/>
    </row>
    <row r="36" spans="1:9" s="709" customFormat="1" ht="15.75" thickBot="1" x14ac:dyDescent="0.3">
      <c r="A36" s="18"/>
      <c r="B36" s="608" t="s">
        <v>229</v>
      </c>
      <c r="C36" s="19"/>
      <c r="D36" s="19"/>
      <c r="E36" s="19"/>
      <c r="F36" s="19" t="s">
        <v>232</v>
      </c>
      <c r="G36" s="19" t="s">
        <v>342</v>
      </c>
      <c r="H36" s="19" t="s">
        <v>1265</v>
      </c>
      <c r="I36" s="609" t="s">
        <v>344</v>
      </c>
    </row>
    <row r="37" spans="1:9" ht="15.75" thickBot="1" x14ac:dyDescent="0.3">
      <c r="A37" s="2"/>
      <c r="B37" s="611" t="s">
        <v>2168</v>
      </c>
      <c r="C37" s="660"/>
      <c r="D37" s="661"/>
      <c r="E37" s="661"/>
      <c r="F37" s="662"/>
      <c r="G37" s="612"/>
      <c r="H37" s="612"/>
      <c r="I37" s="613"/>
    </row>
    <row r="38" spans="1:9" ht="27.75" thickBot="1" x14ac:dyDescent="0.35">
      <c r="A38" s="310"/>
      <c r="B38" s="836" t="s">
        <v>374</v>
      </c>
      <c r="C38" s="837">
        <f>'Input Data'!E14</f>
        <v>0</v>
      </c>
      <c r="D38" s="615"/>
      <c r="E38" s="616"/>
      <c r="F38" s="616"/>
      <c r="G38" s="126" t="s">
        <v>371</v>
      </c>
      <c r="H38" s="617"/>
      <c r="I38" s="618" t="s">
        <v>2169</v>
      </c>
    </row>
    <row r="39" spans="1:9" ht="27.75" thickBot="1" x14ac:dyDescent="0.3">
      <c r="A39" s="2"/>
      <c r="B39" s="611" t="s">
        <v>229</v>
      </c>
      <c r="C39" s="386" t="s">
        <v>2177</v>
      </c>
      <c r="D39" s="386" t="s">
        <v>2178</v>
      </c>
      <c r="E39" s="386" t="s">
        <v>2179</v>
      </c>
      <c r="F39" s="386" t="s">
        <v>2180</v>
      </c>
      <c r="G39" s="612"/>
      <c r="H39" s="612"/>
      <c r="I39" s="613"/>
    </row>
    <row r="40" spans="1:9" ht="15.75" thickBot="1" x14ac:dyDescent="0.3">
      <c r="A40" s="38"/>
      <c r="B40" s="614" t="s">
        <v>2181</v>
      </c>
      <c r="C40" s="341" t="s">
        <v>2182</v>
      </c>
      <c r="D40" s="341" t="s">
        <v>2183</v>
      </c>
      <c r="E40" s="341" t="s">
        <v>2184</v>
      </c>
      <c r="F40" s="341" t="s">
        <v>2185</v>
      </c>
      <c r="G40" s="126"/>
      <c r="H40" s="604"/>
      <c r="I40" s="618" t="s">
        <v>2186</v>
      </c>
    </row>
    <row r="41" spans="1:9" ht="16.5" thickBot="1" x14ac:dyDescent="0.35">
      <c r="A41" s="38"/>
      <c r="B41" s="614" t="s">
        <v>2187</v>
      </c>
      <c r="C41" s="341">
        <v>47</v>
      </c>
      <c r="D41" s="825">
        <v>47</v>
      </c>
      <c r="E41" s="825">
        <v>47</v>
      </c>
      <c r="F41" s="825">
        <v>47</v>
      </c>
      <c r="G41" s="126" t="s">
        <v>2188</v>
      </c>
      <c r="H41" s="604"/>
      <c r="I41" s="618" t="s">
        <v>2189</v>
      </c>
    </row>
    <row r="42" spans="1:9" ht="16.5" thickBot="1" x14ac:dyDescent="0.35">
      <c r="A42" s="310"/>
      <c r="B42" s="614" t="s">
        <v>2190</v>
      </c>
      <c r="C42" s="741">
        <v>1</v>
      </c>
      <c r="D42" s="825">
        <v>0.48</v>
      </c>
      <c r="E42" s="825">
        <v>0.48</v>
      </c>
      <c r="F42" s="825">
        <v>1</v>
      </c>
      <c r="G42" s="126"/>
      <c r="H42" s="617"/>
      <c r="I42" s="618" t="s">
        <v>2189</v>
      </c>
    </row>
    <row r="43" spans="1:9" ht="16.5" thickBot="1" x14ac:dyDescent="0.35">
      <c r="A43" s="310"/>
      <c r="B43" s="614" t="s">
        <v>2191</v>
      </c>
      <c r="C43" s="741">
        <v>0.5</v>
      </c>
      <c r="D43" s="825">
        <v>1.22</v>
      </c>
      <c r="E43" s="825">
        <v>1.22</v>
      </c>
      <c r="F43" s="825">
        <v>0.5</v>
      </c>
      <c r="G43" s="126"/>
      <c r="H43" s="617"/>
      <c r="I43" s="618" t="s">
        <v>2189</v>
      </c>
    </row>
    <row r="44" spans="1:9" ht="16.5" thickBot="1" x14ac:dyDescent="0.35">
      <c r="A44" s="310"/>
      <c r="B44" s="614" t="s">
        <v>2192</v>
      </c>
      <c r="C44" s="741">
        <v>0.5</v>
      </c>
      <c r="D44" s="825">
        <v>1.44</v>
      </c>
      <c r="E44" s="825">
        <v>1.44</v>
      </c>
      <c r="F44" s="825">
        <v>0.5</v>
      </c>
      <c r="G44" s="126"/>
      <c r="H44" s="617"/>
      <c r="I44" s="618" t="s">
        <v>2189</v>
      </c>
    </row>
    <row r="45" spans="1:9" ht="16.5" thickBot="1" x14ac:dyDescent="0.35">
      <c r="A45" s="310"/>
      <c r="B45" s="614" t="s">
        <v>2193</v>
      </c>
      <c r="C45" s="619">
        <f>C41*C42*C43*C44</f>
        <v>11.75</v>
      </c>
      <c r="D45" s="619">
        <f t="shared" ref="D45:F45" si="5">D41*D42*D43*D44</f>
        <v>39.633407999999996</v>
      </c>
      <c r="E45" s="619">
        <f t="shared" si="5"/>
        <v>39.633407999999996</v>
      </c>
      <c r="F45" s="619">
        <f t="shared" si="5"/>
        <v>11.75</v>
      </c>
      <c r="G45" s="126" t="s">
        <v>2188</v>
      </c>
      <c r="H45" s="617"/>
      <c r="I45" s="621"/>
    </row>
    <row r="46" spans="1:9" ht="16.5" thickBot="1" x14ac:dyDescent="0.35">
      <c r="A46" s="310"/>
      <c r="B46" s="614" t="s">
        <v>2194</v>
      </c>
      <c r="C46" s="741">
        <v>0</v>
      </c>
      <c r="D46" s="741"/>
      <c r="E46" s="741">
        <v>0</v>
      </c>
      <c r="F46" s="741">
        <v>0</v>
      </c>
      <c r="G46" s="126" t="s">
        <v>2188</v>
      </c>
      <c r="H46" s="617"/>
      <c r="I46" s="618" t="s">
        <v>2189</v>
      </c>
    </row>
    <row r="47" spans="1:9" ht="16.5" thickBot="1" x14ac:dyDescent="0.35">
      <c r="A47" s="310"/>
      <c r="B47" s="614" t="s">
        <v>2195</v>
      </c>
      <c r="C47" s="619">
        <f>C45+C46</f>
        <v>11.75</v>
      </c>
      <c r="D47" s="619">
        <f t="shared" ref="D47:F47" si="6">D45+D46</f>
        <v>39.633407999999996</v>
      </c>
      <c r="E47" s="619">
        <f t="shared" si="6"/>
        <v>39.633407999999996</v>
      </c>
      <c r="F47" s="619">
        <f t="shared" si="6"/>
        <v>11.75</v>
      </c>
      <c r="G47" s="126" t="s">
        <v>2188</v>
      </c>
      <c r="H47" s="617"/>
      <c r="I47" s="621"/>
    </row>
    <row r="48" spans="1:9" ht="16.5" thickBot="1" x14ac:dyDescent="0.35">
      <c r="A48" s="310"/>
      <c r="B48" s="614" t="s">
        <v>2196</v>
      </c>
      <c r="C48" s="825">
        <v>47</v>
      </c>
      <c r="D48" s="741">
        <v>47</v>
      </c>
      <c r="E48" s="825">
        <v>47</v>
      </c>
      <c r="F48" s="825">
        <v>47</v>
      </c>
      <c r="G48" s="126" t="s">
        <v>2188</v>
      </c>
      <c r="H48" s="617"/>
      <c r="I48" s="618" t="s">
        <v>2189</v>
      </c>
    </row>
    <row r="49" spans="1:9" ht="16.5" thickBot="1" x14ac:dyDescent="0.35">
      <c r="A49" s="310"/>
      <c r="B49" s="614" t="s">
        <v>2197</v>
      </c>
      <c r="C49" s="825">
        <v>0.48</v>
      </c>
      <c r="D49" s="741">
        <v>0.48</v>
      </c>
      <c r="E49" s="825">
        <v>0.48</v>
      </c>
      <c r="F49" s="825">
        <v>0.48</v>
      </c>
      <c r="G49" s="126"/>
      <c r="H49" s="617"/>
      <c r="I49" s="618" t="s">
        <v>2189</v>
      </c>
    </row>
    <row r="50" spans="1:9" ht="16.5" thickBot="1" x14ac:dyDescent="0.35">
      <c r="A50" s="310"/>
      <c r="B50" s="614" t="s">
        <v>2198</v>
      </c>
      <c r="C50" s="825">
        <v>1.1499999999999999</v>
      </c>
      <c r="D50" s="741">
        <v>0.8</v>
      </c>
      <c r="E50" s="825">
        <v>1.1499999999999999</v>
      </c>
      <c r="F50" s="825">
        <v>1.1499999999999999</v>
      </c>
      <c r="G50" s="126"/>
      <c r="H50" s="617"/>
      <c r="I50" s="618" t="s">
        <v>2189</v>
      </c>
    </row>
    <row r="51" spans="1:9" ht="16.5" thickBot="1" x14ac:dyDescent="0.35">
      <c r="A51" s="310"/>
      <c r="B51" s="614" t="s">
        <v>2199</v>
      </c>
      <c r="C51" s="825">
        <v>1.1100000000000001</v>
      </c>
      <c r="D51" s="741">
        <v>0.2</v>
      </c>
      <c r="E51" s="825">
        <v>1.1100000000000001</v>
      </c>
      <c r="F51" s="825">
        <v>1.1100000000000001</v>
      </c>
      <c r="G51" s="126"/>
      <c r="H51" s="617"/>
      <c r="I51" s="618" t="s">
        <v>2189</v>
      </c>
    </row>
    <row r="52" spans="1:9" ht="16.5" thickBot="1" x14ac:dyDescent="0.35">
      <c r="A52" s="310"/>
      <c r="B52" s="614" t="s">
        <v>2200</v>
      </c>
      <c r="C52" s="619">
        <f>C48*C49*C50*C51</f>
        <v>28.797839999999997</v>
      </c>
      <c r="D52" s="619">
        <f t="shared" ref="D52:F52" si="7">D48*D49*D50*D51</f>
        <v>3.6095999999999999</v>
      </c>
      <c r="E52" s="619">
        <f t="shared" si="7"/>
        <v>28.797839999999997</v>
      </c>
      <c r="F52" s="619">
        <f t="shared" si="7"/>
        <v>28.797839999999997</v>
      </c>
      <c r="G52" s="126" t="s">
        <v>2188</v>
      </c>
      <c r="H52" s="617"/>
      <c r="I52" s="621"/>
    </row>
    <row r="53" spans="1:9" ht="16.5" thickBot="1" x14ac:dyDescent="0.35">
      <c r="A53" s="310"/>
      <c r="B53" s="614" t="s">
        <v>2201</v>
      </c>
      <c r="C53" s="825">
        <v>5</v>
      </c>
      <c r="D53" s="825"/>
      <c r="E53" s="825">
        <v>5</v>
      </c>
      <c r="F53" s="825">
        <v>5</v>
      </c>
      <c r="G53" s="126" t="s">
        <v>2188</v>
      </c>
      <c r="H53" s="617"/>
      <c r="I53" s="618" t="s">
        <v>2189</v>
      </c>
    </row>
    <row r="54" spans="1:9" ht="15.75" x14ac:dyDescent="0.3">
      <c r="A54" s="310"/>
      <c r="B54" s="614" t="s">
        <v>2202</v>
      </c>
      <c r="C54" s="619">
        <f>C52+C53</f>
        <v>33.797839999999994</v>
      </c>
      <c r="D54" s="619">
        <f t="shared" ref="D54:F54" si="8">D52+D53</f>
        <v>3.6095999999999999</v>
      </c>
      <c r="E54" s="619">
        <f t="shared" si="8"/>
        <v>33.797839999999994</v>
      </c>
      <c r="F54" s="619">
        <f t="shared" si="8"/>
        <v>33.797839999999994</v>
      </c>
      <c r="G54" s="126" t="s">
        <v>2188</v>
      </c>
      <c r="H54" s="617"/>
      <c r="I54" s="621"/>
    </row>
    <row r="55" spans="1:9" ht="27.75" thickBot="1" x14ac:dyDescent="0.35">
      <c r="A55" s="310"/>
      <c r="B55" s="614" t="s">
        <v>2203</v>
      </c>
      <c r="C55" s="821" t="str">
        <f>IF($C$5=0,"",(C47-C54)*1000000*3.664*1/20)</f>
        <v/>
      </c>
      <c r="D55" s="821" t="str">
        <f>IF($C$5=0,"",(D47-D54)*1000000*3.664*1/20)</f>
        <v/>
      </c>
      <c r="E55" s="822" t="str">
        <f>IF($C$5=0,"",(E47-E54)*1000000*3.664*1/20)</f>
        <v/>
      </c>
      <c r="F55" s="822" t="str">
        <f>IF($C$5=0,"",(F47-F54)*1000000*3.664*1/20)</f>
        <v/>
      </c>
      <c r="G55" s="790" t="s">
        <v>2204</v>
      </c>
      <c r="H55" s="617"/>
      <c r="I55" s="663" t="s">
        <v>2205</v>
      </c>
    </row>
    <row r="56" spans="1:9" ht="15.75" thickBot="1" x14ac:dyDescent="0.3">
      <c r="A56" s="356"/>
      <c r="B56" s="626" t="s">
        <v>2218</v>
      </c>
      <c r="C56" s="828">
        <f>IF(C41&lt;&gt;0,MAX(C55:F55),0)</f>
        <v>0</v>
      </c>
      <c r="D56" s="627"/>
      <c r="E56" s="628"/>
      <c r="F56" s="628"/>
      <c r="G56" s="790" t="s">
        <v>2204</v>
      </c>
      <c r="H56" s="277"/>
      <c r="I56" s="273" t="s">
        <v>2219</v>
      </c>
    </row>
    <row r="57" spans="1:9" x14ac:dyDescent="0.25">
      <c r="A57" s="34"/>
      <c r="B57" s="32"/>
      <c r="C57" s="834"/>
      <c r="D57" s="834"/>
      <c r="E57" s="834"/>
      <c r="F57" s="834"/>
      <c r="G57" s="34"/>
      <c r="H57" s="757"/>
      <c r="I57" s="34"/>
    </row>
    <row r="58" spans="1:9" ht="16.5" thickBot="1" x14ac:dyDescent="0.35">
      <c r="A58" s="244"/>
      <c r="B58" s="692" t="s">
        <v>2220</v>
      </c>
      <c r="C58" s="629"/>
      <c r="D58" s="247"/>
      <c r="E58" s="188"/>
      <c r="F58" s="245"/>
      <c r="G58" s="692"/>
      <c r="H58" s="692"/>
      <c r="I58" s="692"/>
    </row>
    <row r="59" spans="1:9" ht="15.75" thickBot="1" x14ac:dyDescent="0.3">
      <c r="A59" s="18" t="s">
        <v>2221</v>
      </c>
      <c r="B59" s="19" t="s">
        <v>229</v>
      </c>
      <c r="C59" s="19"/>
      <c r="D59" s="19"/>
      <c r="E59" s="19"/>
      <c r="F59" s="378" t="s">
        <v>232</v>
      </c>
      <c r="G59" s="19" t="s">
        <v>342</v>
      </c>
      <c r="H59" s="19" t="s">
        <v>1265</v>
      </c>
      <c r="I59" s="270" t="s">
        <v>344</v>
      </c>
    </row>
    <row r="60" spans="1:9" ht="270" x14ac:dyDescent="0.25">
      <c r="A60" s="6" t="s">
        <v>2222</v>
      </c>
      <c r="B60" s="260" t="s">
        <v>915</v>
      </c>
      <c r="C60" s="260"/>
      <c r="D60" s="260"/>
      <c r="E60" s="260"/>
      <c r="F60" s="413">
        <v>0</v>
      </c>
      <c r="G60" s="126" t="s">
        <v>210</v>
      </c>
      <c r="H60" s="122" t="str">
        <f>IF(F64=0,"COMPLIANT","NOT COMPLIANT")</f>
        <v>COMPLIANT</v>
      </c>
      <c r="I60" s="354" t="s">
        <v>2223</v>
      </c>
    </row>
    <row r="61" spans="1:9" ht="189" x14ac:dyDescent="0.25">
      <c r="A61" s="6"/>
      <c r="B61" s="260"/>
      <c r="C61" s="260"/>
      <c r="D61" s="260"/>
      <c r="E61" s="260"/>
      <c r="F61" s="413"/>
      <c r="G61" s="126"/>
      <c r="H61" s="122"/>
      <c r="I61" s="354" t="s">
        <v>2224</v>
      </c>
    </row>
    <row r="62" spans="1:9" ht="41.25" thickBot="1" x14ac:dyDescent="0.3">
      <c r="A62" s="6"/>
      <c r="B62" s="260"/>
      <c r="C62" s="260"/>
      <c r="D62" s="260"/>
      <c r="E62" s="260"/>
      <c r="F62" s="417"/>
      <c r="G62" s="126"/>
      <c r="H62" s="122"/>
      <c r="I62" s="354" t="s">
        <v>2225</v>
      </c>
    </row>
    <row r="63" spans="1:9" ht="15.75" thickBot="1" x14ac:dyDescent="0.3">
      <c r="A63" s="267" t="s">
        <v>2226</v>
      </c>
      <c r="B63" s="42" t="s">
        <v>229</v>
      </c>
      <c r="C63" s="42"/>
      <c r="D63" s="42"/>
      <c r="E63" s="268"/>
      <c r="F63" s="386">
        <f>'Input Data'!$E$8</f>
        <v>0</v>
      </c>
      <c r="G63" s="3"/>
      <c r="H63" s="3"/>
      <c r="I63" s="3"/>
    </row>
    <row r="64" spans="1:9" ht="54.75" thickBot="1" x14ac:dyDescent="0.3">
      <c r="A64" s="130" t="s">
        <v>2227</v>
      </c>
      <c r="B64" s="630" t="s">
        <v>915</v>
      </c>
      <c r="C64" s="630"/>
      <c r="D64" s="630"/>
      <c r="E64" s="274"/>
      <c r="F64" s="416">
        <f>'Input Data'!E216</f>
        <v>0</v>
      </c>
      <c r="G64" s="128" t="s">
        <v>210</v>
      </c>
      <c r="H64" s="128" t="str">
        <f>H60</f>
        <v>COMPLIANT</v>
      </c>
      <c r="I64" s="128"/>
    </row>
    <row r="65" spans="1:9" x14ac:dyDescent="0.25">
      <c r="A65" s="692"/>
      <c r="B65" s="692"/>
      <c r="C65" s="692"/>
      <c r="D65" s="692"/>
      <c r="E65" s="692"/>
      <c r="F65" s="94" t="s">
        <v>2228</v>
      </c>
      <c r="G65" s="692"/>
      <c r="H65" s="692"/>
      <c r="I65" s="692"/>
    </row>
    <row r="67" spans="1:9" ht="15.75" x14ac:dyDescent="0.3">
      <c r="A67" s="4" t="s">
        <v>201</v>
      </c>
      <c r="B67" s="692"/>
      <c r="C67" s="692"/>
      <c r="D67" s="692"/>
      <c r="E67" s="692"/>
      <c r="F67" s="692"/>
      <c r="G67" s="692"/>
      <c r="H67" s="692"/>
      <c r="I67" s="692"/>
    </row>
    <row r="68" spans="1:9" ht="15.75" x14ac:dyDescent="0.3">
      <c r="A68" s="4" t="s">
        <v>202</v>
      </c>
      <c r="B68" s="692"/>
      <c r="C68" s="692"/>
      <c r="D68" s="692"/>
      <c r="E68" s="692"/>
      <c r="F68" s="692"/>
      <c r="G68" s="692"/>
      <c r="H68" s="692"/>
      <c r="I68" s="692"/>
    </row>
  </sheetData>
  <mergeCells count="1">
    <mergeCell ref="B1:I1"/>
  </mergeCells>
  <conditionalFormatting sqref="C30:F31">
    <cfRule type="cellIs" dxfId="0" priority="2" operator="equal">
      <formula>"NOT COMPLIANT"</formula>
    </cfRule>
  </conditionalFormatting>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F13"/>
  <sheetViews>
    <sheetView showGridLines="0" topLeftCell="B6" workbookViewId="0">
      <selection activeCell="C7" sqref="C7"/>
    </sheetView>
  </sheetViews>
  <sheetFormatPr defaultColWidth="8.85546875" defaultRowHeight="15" x14ac:dyDescent="0.25"/>
  <cols>
    <col min="1" max="1" width="31" customWidth="1"/>
    <col min="2" max="2" width="36.28515625" customWidth="1"/>
    <col min="3" max="5" width="14.42578125" customWidth="1"/>
    <col min="6" max="6" width="50.42578125" customWidth="1"/>
  </cols>
  <sheetData>
    <row r="1" spans="1:6" ht="86.25" customHeight="1" thickBot="1" x14ac:dyDescent="0.3">
      <c r="A1" s="275" t="s">
        <v>2161</v>
      </c>
      <c r="B1" s="1451" t="s">
        <v>2229</v>
      </c>
      <c r="C1" s="1452"/>
      <c r="D1" s="1452"/>
      <c r="E1" s="1452"/>
      <c r="F1" s="1454"/>
    </row>
    <row r="2" spans="1:6" ht="15.75" thickBot="1" x14ac:dyDescent="0.3">
      <c r="A2" s="18" t="s">
        <v>2163</v>
      </c>
      <c r="B2" s="19" t="s">
        <v>229</v>
      </c>
      <c r="C2" s="19" t="s">
        <v>232</v>
      </c>
      <c r="D2" s="19" t="s">
        <v>342</v>
      </c>
      <c r="E2" s="19" t="s">
        <v>1265</v>
      </c>
      <c r="F2" s="238" t="s">
        <v>344</v>
      </c>
    </row>
    <row r="3" spans="1:6" ht="215.25" customHeight="1" thickBot="1" x14ac:dyDescent="0.3">
      <c r="A3" s="6" t="s">
        <v>2164</v>
      </c>
      <c r="B3" s="286" t="s">
        <v>2165</v>
      </c>
      <c r="C3" s="427">
        <v>10.000999999999999</v>
      </c>
      <c r="D3" s="1423" t="s">
        <v>1244</v>
      </c>
      <c r="E3" s="265" t="str">
        <f>E9</f>
        <v>COMPLIANT</v>
      </c>
      <c r="F3" s="353" t="s">
        <v>2166</v>
      </c>
    </row>
    <row r="4" spans="1:6" ht="15.75" thickBot="1" x14ac:dyDescent="0.3">
      <c r="A4" s="2" t="s">
        <v>2167</v>
      </c>
      <c r="B4" s="42" t="s">
        <v>229</v>
      </c>
      <c r="C4" s="386">
        <f>'Input Data'!$E$8</f>
        <v>0</v>
      </c>
      <c r="D4" s="3"/>
      <c r="E4" s="3"/>
      <c r="F4" s="272"/>
    </row>
    <row r="5" spans="1:6" ht="15.75" thickBot="1" x14ac:dyDescent="0.3">
      <c r="A5" s="38"/>
      <c r="B5" s="126"/>
      <c r="C5" s="49"/>
      <c r="D5" s="37"/>
      <c r="E5" s="37"/>
      <c r="F5" s="311"/>
    </row>
    <row r="6" spans="1:6" ht="27.75" thickBot="1" x14ac:dyDescent="0.3">
      <c r="A6" s="38"/>
      <c r="B6" s="6" t="s">
        <v>1240</v>
      </c>
      <c r="C6" s="341" t="str">
        <f>'Input Data'!E387</f>
        <v>Yes</v>
      </c>
      <c r="D6" s="1423" t="s">
        <v>400</v>
      </c>
      <c r="E6" s="37"/>
      <c r="F6" s="311"/>
    </row>
    <row r="7" spans="1:6" ht="15.75" thickBot="1" x14ac:dyDescent="0.3">
      <c r="A7" s="38"/>
      <c r="B7" s="679" t="s">
        <v>1243</v>
      </c>
      <c r="C7" s="341">
        <f>'Input Data'!E388</f>
        <v>0</v>
      </c>
      <c r="D7" s="66" t="s">
        <v>1244</v>
      </c>
      <c r="E7" s="37"/>
      <c r="F7" s="311"/>
    </row>
    <row r="8" spans="1:6" ht="15.75" thickBot="1" x14ac:dyDescent="0.3">
      <c r="A8" s="38"/>
      <c r="B8" s="126"/>
      <c r="C8" s="49"/>
      <c r="D8" s="37"/>
      <c r="E8" s="37"/>
      <c r="F8" s="311"/>
    </row>
    <row r="9" spans="1:6" ht="27.75" thickBot="1" x14ac:dyDescent="0.3">
      <c r="A9" s="356" t="s">
        <v>2214</v>
      </c>
      <c r="B9" s="357" t="s">
        <v>2230</v>
      </c>
      <c r="C9" s="15">
        <f>IF(C6="Yes",C7+10,10)</f>
        <v>10</v>
      </c>
      <c r="D9" s="358" t="s">
        <v>1244</v>
      </c>
      <c r="E9" s="281" t="str">
        <f>IF(C9&lt;C3,"COMPLIANT","NOT COMPLIANT")</f>
        <v>COMPLIANT</v>
      </c>
      <c r="F9" s="359"/>
    </row>
    <row r="10" spans="1:6" ht="15.75" x14ac:dyDescent="0.3">
      <c r="A10" s="244"/>
      <c r="B10" s="692"/>
      <c r="C10" s="188"/>
      <c r="D10" s="247"/>
      <c r="E10" s="188"/>
      <c r="F10" s="245"/>
    </row>
    <row r="12" spans="1:6" ht="15.75" x14ac:dyDescent="0.3">
      <c r="A12" s="4" t="s">
        <v>201</v>
      </c>
      <c r="B12" s="692"/>
      <c r="C12" s="692"/>
      <c r="D12" s="692"/>
      <c r="E12" s="692"/>
      <c r="F12" s="692"/>
    </row>
    <row r="13" spans="1:6" ht="15.75" x14ac:dyDescent="0.3">
      <c r="A13" s="4" t="s">
        <v>202</v>
      </c>
      <c r="B13" s="692"/>
      <c r="C13" s="692"/>
      <c r="D13" s="692"/>
      <c r="E13" s="692"/>
      <c r="F13" s="692"/>
    </row>
  </sheetData>
  <mergeCells count="1">
    <mergeCell ref="B1:F1"/>
  </mergeCells>
  <pageMargins left="0.7" right="0.7" top="0.75" bottom="0.75" header="0.3" footer="0.3"/>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F77"/>
  <sheetViews>
    <sheetView showGridLines="0" topLeftCell="A61" workbookViewId="0">
      <selection activeCell="D73" sqref="D73"/>
    </sheetView>
  </sheetViews>
  <sheetFormatPr defaultColWidth="8.85546875" defaultRowHeight="15" x14ac:dyDescent="0.25"/>
  <cols>
    <col min="1" max="1" width="53.85546875" customWidth="1"/>
    <col min="3" max="3" width="16" bestFit="1" customWidth="1"/>
    <col min="4" max="4" width="62.85546875" customWidth="1"/>
  </cols>
  <sheetData>
    <row r="1" spans="1:6" ht="65.25" customHeight="1" thickBot="1" x14ac:dyDescent="0.3">
      <c r="A1" s="471"/>
      <c r="B1" s="1455" t="s">
        <v>2231</v>
      </c>
      <c r="C1" s="1455"/>
      <c r="D1" s="1455"/>
      <c r="E1" s="692"/>
      <c r="F1" s="692"/>
    </row>
    <row r="2" spans="1:6" s="607" customFormat="1" ht="15.75" thickBot="1" x14ac:dyDescent="0.3">
      <c r="A2" s="18" t="s">
        <v>2232</v>
      </c>
      <c r="B2" s="650"/>
      <c r="C2" s="650"/>
      <c r="D2" s="651"/>
      <c r="E2" s="72"/>
      <c r="F2" s="631"/>
    </row>
    <row r="3" spans="1:6" x14ac:dyDescent="0.25">
      <c r="A3" s="257" t="s">
        <v>1688</v>
      </c>
      <c r="B3" s="680">
        <v>1.1200000000000001</v>
      </c>
      <c r="C3" s="680" t="s">
        <v>2233</v>
      </c>
      <c r="D3" s="640" t="s">
        <v>1690</v>
      </c>
      <c r="E3" s="692"/>
      <c r="F3" s="692"/>
    </row>
    <row r="4" spans="1:6" x14ac:dyDescent="0.25">
      <c r="A4" s="257" t="s">
        <v>1993</v>
      </c>
      <c r="B4" s="408">
        <v>1.1399999999999999</v>
      </c>
      <c r="C4" s="85" t="s">
        <v>2233</v>
      </c>
      <c r="D4" s="641" t="s">
        <v>1690</v>
      </c>
      <c r="E4" s="692"/>
      <c r="F4" s="692"/>
    </row>
    <row r="5" spans="1:6" x14ac:dyDescent="0.25">
      <c r="A5" s="257" t="s">
        <v>2234</v>
      </c>
      <c r="B5" s="680">
        <v>1.1599999999999999</v>
      </c>
      <c r="C5" s="680" t="s">
        <v>2235</v>
      </c>
      <c r="D5" s="641" t="s">
        <v>1690</v>
      </c>
      <c r="E5" s="692"/>
      <c r="F5" s="692"/>
    </row>
    <row r="6" spans="1:6" x14ac:dyDescent="0.25">
      <c r="A6" s="257" t="s">
        <v>1996</v>
      </c>
      <c r="B6" s="177">
        <v>37.840000000000003</v>
      </c>
      <c r="C6" s="85" t="s">
        <v>611</v>
      </c>
      <c r="D6" s="641"/>
      <c r="E6" s="692"/>
      <c r="F6" s="692"/>
    </row>
    <row r="7" spans="1:6" s="607" customFormat="1" x14ac:dyDescent="0.25">
      <c r="A7" s="257" t="s">
        <v>2236</v>
      </c>
      <c r="B7" s="177">
        <v>31.45</v>
      </c>
      <c r="C7" s="85" t="s">
        <v>611</v>
      </c>
      <c r="D7" s="641"/>
      <c r="E7" s="692"/>
      <c r="F7" s="692"/>
    </row>
    <row r="8" spans="1:6" s="607" customFormat="1" x14ac:dyDescent="0.25">
      <c r="A8" s="257" t="s">
        <v>2237</v>
      </c>
      <c r="B8" s="177">
        <v>3.6</v>
      </c>
      <c r="C8" s="85" t="s">
        <v>2238</v>
      </c>
      <c r="D8" s="641" t="s">
        <v>1682</v>
      </c>
      <c r="E8" s="692"/>
      <c r="F8" s="692"/>
    </row>
    <row r="9" spans="1:6" x14ac:dyDescent="0.25">
      <c r="A9" s="257" t="s">
        <v>2239</v>
      </c>
      <c r="B9" s="680">
        <v>9.41</v>
      </c>
      <c r="C9" s="680" t="s">
        <v>2240</v>
      </c>
      <c r="D9" s="641" t="s">
        <v>1702</v>
      </c>
      <c r="E9" s="692"/>
      <c r="F9" s="692"/>
    </row>
    <row r="10" spans="1:6" x14ac:dyDescent="0.25">
      <c r="A10" s="257" t="s">
        <v>1710</v>
      </c>
      <c r="B10" s="177">
        <v>0.1</v>
      </c>
      <c r="C10" s="680" t="s">
        <v>1711</v>
      </c>
      <c r="D10" s="641"/>
      <c r="E10" s="692"/>
      <c r="F10" s="692"/>
    </row>
    <row r="11" spans="1:6" x14ac:dyDescent="0.25">
      <c r="A11" s="257" t="s">
        <v>1715</v>
      </c>
      <c r="B11" s="408">
        <v>75</v>
      </c>
      <c r="C11" s="680" t="s">
        <v>1711</v>
      </c>
      <c r="D11" s="641" t="s">
        <v>1716</v>
      </c>
      <c r="E11" s="692"/>
      <c r="F11" s="692"/>
    </row>
    <row r="12" spans="1:6" x14ac:dyDescent="0.25">
      <c r="A12" s="257" t="s">
        <v>1717</v>
      </c>
      <c r="B12" s="161">
        <v>3</v>
      </c>
      <c r="C12" s="680" t="s">
        <v>1711</v>
      </c>
      <c r="D12" s="641" t="s">
        <v>1718</v>
      </c>
      <c r="E12" s="692"/>
      <c r="F12" s="692"/>
    </row>
    <row r="13" spans="1:6" x14ac:dyDescent="0.25">
      <c r="A13" s="257" t="s">
        <v>1719</v>
      </c>
      <c r="B13" s="161">
        <v>3</v>
      </c>
      <c r="C13" s="680" t="s">
        <v>1711</v>
      </c>
      <c r="D13" s="641"/>
      <c r="E13" s="692"/>
      <c r="F13" s="692"/>
    </row>
    <row r="14" spans="1:6" x14ac:dyDescent="0.25">
      <c r="A14" s="257" t="s">
        <v>1720</v>
      </c>
      <c r="B14" s="161">
        <v>11</v>
      </c>
      <c r="C14" s="680" t="s">
        <v>1711</v>
      </c>
      <c r="D14" s="641" t="s">
        <v>1721</v>
      </c>
      <c r="E14" s="692"/>
      <c r="F14" s="692"/>
    </row>
    <row r="15" spans="1:6" x14ac:dyDescent="0.25">
      <c r="A15" s="257" t="s">
        <v>1730</v>
      </c>
      <c r="B15" s="684">
        <v>2.4</v>
      </c>
      <c r="C15" s="680" t="s">
        <v>1711</v>
      </c>
      <c r="D15" s="641"/>
      <c r="E15" s="692"/>
      <c r="F15" s="692"/>
    </row>
    <row r="16" spans="1:6" x14ac:dyDescent="0.25">
      <c r="A16" s="257" t="s">
        <v>1733</v>
      </c>
      <c r="B16" s="684">
        <v>11</v>
      </c>
      <c r="C16" s="680" t="s">
        <v>1711</v>
      </c>
      <c r="D16" s="641"/>
      <c r="E16" s="692"/>
      <c r="F16" s="692"/>
    </row>
    <row r="17" spans="1:4" x14ac:dyDescent="0.25">
      <c r="A17" s="257" t="s">
        <v>1735</v>
      </c>
      <c r="B17" s="684">
        <v>46.3</v>
      </c>
      <c r="C17" s="680" t="s">
        <v>1048</v>
      </c>
      <c r="D17" s="641"/>
    </row>
    <row r="18" spans="1:4" s="607" customFormat="1" x14ac:dyDescent="0.25">
      <c r="A18" s="257" t="s">
        <v>2241</v>
      </c>
      <c r="B18" s="684">
        <v>6.36</v>
      </c>
      <c r="C18" s="680" t="s">
        <v>2242</v>
      </c>
      <c r="D18" s="641" t="s">
        <v>2243</v>
      </c>
    </row>
    <row r="19" spans="1:4" x14ac:dyDescent="0.25">
      <c r="A19" s="257" t="s">
        <v>1738</v>
      </c>
      <c r="B19" s="684">
        <v>56.9</v>
      </c>
      <c r="C19" s="680" t="s">
        <v>1048</v>
      </c>
      <c r="D19" s="641" t="s">
        <v>1970</v>
      </c>
    </row>
    <row r="20" spans="1:4" x14ac:dyDescent="0.25">
      <c r="A20" s="257" t="s">
        <v>1742</v>
      </c>
      <c r="B20" s="161">
        <v>50</v>
      </c>
      <c r="C20" s="680" t="s">
        <v>1048</v>
      </c>
      <c r="D20" s="641" t="s">
        <v>1743</v>
      </c>
    </row>
    <row r="21" spans="1:4" x14ac:dyDescent="0.25">
      <c r="A21" s="257" t="s">
        <v>2244</v>
      </c>
      <c r="B21" s="684">
        <v>9.29767663519082</v>
      </c>
      <c r="C21" s="85" t="s">
        <v>1048</v>
      </c>
      <c r="D21" s="641" t="s">
        <v>1972</v>
      </c>
    </row>
    <row r="22" spans="1:4" x14ac:dyDescent="0.25">
      <c r="A22" s="257" t="s">
        <v>2245</v>
      </c>
      <c r="B22" s="684">
        <v>6.9732574763931128</v>
      </c>
      <c r="C22" s="85" t="s">
        <v>1048</v>
      </c>
      <c r="D22" s="641" t="s">
        <v>1975</v>
      </c>
    </row>
    <row r="23" spans="1:4" x14ac:dyDescent="0.25">
      <c r="A23" s="257" t="s">
        <v>2246</v>
      </c>
      <c r="B23" s="177">
        <v>0.12486198616271567</v>
      </c>
      <c r="C23" s="87" t="s">
        <v>1048</v>
      </c>
      <c r="D23" s="641" t="s">
        <v>1979</v>
      </c>
    </row>
    <row r="24" spans="1:4" x14ac:dyDescent="0.25">
      <c r="A24" s="257" t="s">
        <v>2247</v>
      </c>
      <c r="B24" s="684">
        <v>355.63613129604875</v>
      </c>
      <c r="C24" s="85" t="s">
        <v>1048</v>
      </c>
      <c r="D24" s="641" t="s">
        <v>1982</v>
      </c>
    </row>
    <row r="25" spans="1:4" x14ac:dyDescent="0.25">
      <c r="A25" s="257" t="s">
        <v>2248</v>
      </c>
      <c r="B25" s="684">
        <v>357.96055045484644</v>
      </c>
      <c r="C25" s="85" t="s">
        <v>1048</v>
      </c>
      <c r="D25" s="641" t="s">
        <v>1982</v>
      </c>
    </row>
    <row r="26" spans="1:4" s="607" customFormat="1" ht="27" x14ac:dyDescent="0.25">
      <c r="A26" s="257" t="s">
        <v>2249</v>
      </c>
      <c r="B26" s="684">
        <v>0.64</v>
      </c>
      <c r="C26" s="85" t="s">
        <v>1048</v>
      </c>
      <c r="D26" s="641" t="s">
        <v>1988</v>
      </c>
    </row>
    <row r="27" spans="1:4" s="607" customFormat="1" x14ac:dyDescent="0.25">
      <c r="A27" s="257" t="s">
        <v>1756</v>
      </c>
      <c r="B27" s="684">
        <v>0.5</v>
      </c>
      <c r="C27" s="680" t="s">
        <v>1711</v>
      </c>
      <c r="D27" s="641"/>
    </row>
    <row r="28" spans="1:4" x14ac:dyDescent="0.25">
      <c r="A28" s="257" t="s">
        <v>1659</v>
      </c>
      <c r="B28" s="565">
        <v>16534</v>
      </c>
      <c r="C28" s="682" t="s">
        <v>1660</v>
      </c>
      <c r="D28" s="642" t="s">
        <v>1661</v>
      </c>
    </row>
    <row r="29" spans="1:4" ht="15.75" thickBot="1" x14ac:dyDescent="0.3">
      <c r="A29" s="257" t="s">
        <v>1662</v>
      </c>
      <c r="B29" s="63">
        <v>21.2</v>
      </c>
      <c r="C29" s="682" t="s">
        <v>1663</v>
      </c>
      <c r="D29" s="303"/>
    </row>
    <row r="30" spans="1:4" ht="15.75" thickBot="1" x14ac:dyDescent="0.3">
      <c r="A30" s="18" t="s">
        <v>2250</v>
      </c>
      <c r="B30" s="650"/>
      <c r="C30" s="650"/>
      <c r="D30" s="651"/>
    </row>
    <row r="31" spans="1:4" x14ac:dyDescent="0.25">
      <c r="A31" s="687" t="s">
        <v>2251</v>
      </c>
      <c r="B31" s="507">
        <v>1.0999999999999999E-2</v>
      </c>
      <c r="C31" s="680" t="s">
        <v>2252</v>
      </c>
      <c r="D31" s="302" t="s">
        <v>2253</v>
      </c>
    </row>
    <row r="32" spans="1:4" ht="27" x14ac:dyDescent="0.25">
      <c r="A32" s="687" t="s">
        <v>2254</v>
      </c>
      <c r="B32" s="509">
        <v>4.0000000000000002E-4</v>
      </c>
      <c r="C32" s="680" t="s">
        <v>2255</v>
      </c>
      <c r="D32" s="620" t="s">
        <v>2256</v>
      </c>
    </row>
    <row r="33" spans="1:4" ht="27" x14ac:dyDescent="0.25">
      <c r="A33" s="687" t="s">
        <v>2257</v>
      </c>
      <c r="B33" s="509">
        <v>8.9999999999999998E-4</v>
      </c>
      <c r="C33" s="680" t="s">
        <v>2258</v>
      </c>
      <c r="D33" s="688" t="s">
        <v>2259</v>
      </c>
    </row>
    <row r="34" spans="1:4" x14ac:dyDescent="0.25">
      <c r="A34" s="687" t="s">
        <v>2260</v>
      </c>
      <c r="B34" s="177">
        <v>1.4</v>
      </c>
      <c r="C34" s="680" t="s">
        <v>2261</v>
      </c>
      <c r="D34" s="302" t="s">
        <v>2262</v>
      </c>
    </row>
    <row r="35" spans="1:4" s="607" customFormat="1" x14ac:dyDescent="0.25">
      <c r="A35" s="687" t="s">
        <v>2263</v>
      </c>
      <c r="B35" s="177">
        <v>1</v>
      </c>
      <c r="C35" s="680"/>
      <c r="D35" s="302"/>
    </row>
    <row r="36" spans="1:4" s="607" customFormat="1" ht="15.75" thickBot="1" x14ac:dyDescent="0.3">
      <c r="A36" s="687" t="s">
        <v>2264</v>
      </c>
      <c r="B36" s="177">
        <v>0.7</v>
      </c>
      <c r="C36" s="680"/>
      <c r="D36" s="302"/>
    </row>
    <row r="37" spans="1:4" s="607" customFormat="1" ht="15.75" thickBot="1" x14ac:dyDescent="0.3">
      <c r="A37" s="18" t="s">
        <v>2265</v>
      </c>
      <c r="B37" s="650"/>
      <c r="C37" s="650"/>
      <c r="D37" s="651"/>
    </row>
    <row r="38" spans="1:4" ht="16.5" x14ac:dyDescent="0.25">
      <c r="A38" s="643" t="s">
        <v>1563</v>
      </c>
      <c r="B38" s="408">
        <v>30</v>
      </c>
      <c r="C38" s="682" t="s">
        <v>1564</v>
      </c>
      <c r="D38" s="644" t="s">
        <v>1565</v>
      </c>
    </row>
    <row r="39" spans="1:4" ht="16.5" x14ac:dyDescent="0.25">
      <c r="A39" s="643" t="s">
        <v>1568</v>
      </c>
      <c r="B39" s="408">
        <v>4</v>
      </c>
      <c r="C39" s="682" t="s">
        <v>1564</v>
      </c>
      <c r="D39" s="644" t="s">
        <v>1565</v>
      </c>
    </row>
    <row r="40" spans="1:4" x14ac:dyDescent="0.25">
      <c r="A40" s="645" t="s">
        <v>1883</v>
      </c>
      <c r="B40" s="407">
        <v>8.9389999999999997E-2</v>
      </c>
      <c r="C40" s="682" t="s">
        <v>1884</v>
      </c>
      <c r="D40" s="688" t="s">
        <v>1841</v>
      </c>
    </row>
    <row r="41" spans="1:4" ht="16.5" x14ac:dyDescent="0.25">
      <c r="A41" s="646" t="s">
        <v>1577</v>
      </c>
      <c r="B41" s="105">
        <v>91.650453252239998</v>
      </c>
      <c r="C41" s="682" t="s">
        <v>1578</v>
      </c>
      <c r="D41" s="688" t="s">
        <v>1611</v>
      </c>
    </row>
    <row r="42" spans="1:4" x14ac:dyDescent="0.25">
      <c r="A42" s="645" t="s">
        <v>1887</v>
      </c>
      <c r="B42" s="407">
        <v>9.1427642908399998E-2</v>
      </c>
      <c r="C42" s="39" t="s">
        <v>1888</v>
      </c>
      <c r="D42" s="688" t="s">
        <v>1841</v>
      </c>
    </row>
    <row r="43" spans="1:4" x14ac:dyDescent="0.25">
      <c r="A43" s="645" t="s">
        <v>1897</v>
      </c>
      <c r="B43" s="720">
        <v>6.6199999999999995E-2</v>
      </c>
      <c r="C43" s="682" t="s">
        <v>1884</v>
      </c>
      <c r="D43" s="688" t="s">
        <v>1841</v>
      </c>
    </row>
    <row r="44" spans="1:4" ht="16.5" x14ac:dyDescent="0.25">
      <c r="A44" s="646" t="s">
        <v>1585</v>
      </c>
      <c r="B44" s="684">
        <v>106.74298023784</v>
      </c>
      <c r="C44" s="682" t="s">
        <v>1578</v>
      </c>
      <c r="D44" s="688"/>
    </row>
    <row r="45" spans="1:4" ht="16.5" x14ac:dyDescent="0.25">
      <c r="A45" s="257" t="s">
        <v>1598</v>
      </c>
      <c r="B45" s="504">
        <v>91.650453252239998</v>
      </c>
      <c r="C45" s="682" t="s">
        <v>1578</v>
      </c>
      <c r="D45" s="688" t="s">
        <v>1599</v>
      </c>
    </row>
    <row r="46" spans="1:4" ht="16.5" x14ac:dyDescent="0.25">
      <c r="A46" s="257" t="s">
        <v>1610</v>
      </c>
      <c r="B46" s="296">
        <v>65.373052999999999</v>
      </c>
      <c r="C46" s="682" t="s">
        <v>1578</v>
      </c>
      <c r="D46" s="688" t="s">
        <v>1611</v>
      </c>
    </row>
    <row r="47" spans="1:4" ht="16.5" x14ac:dyDescent="0.25">
      <c r="A47" s="295" t="s">
        <v>1619</v>
      </c>
      <c r="B47" s="550">
        <v>95</v>
      </c>
      <c r="C47" s="682" t="s">
        <v>1578</v>
      </c>
      <c r="D47" s="688" t="s">
        <v>1620</v>
      </c>
    </row>
    <row r="48" spans="1:4" x14ac:dyDescent="0.25">
      <c r="A48" s="645" t="s">
        <v>2266</v>
      </c>
      <c r="B48" s="177">
        <v>3.9866000000000001</v>
      </c>
      <c r="C48" s="39" t="s">
        <v>1840</v>
      </c>
      <c r="D48" s="688" t="s">
        <v>1841</v>
      </c>
    </row>
    <row r="49" spans="1:4" x14ac:dyDescent="0.25">
      <c r="A49" s="645" t="s">
        <v>1844</v>
      </c>
      <c r="B49" s="401">
        <v>6.2047857142857099</v>
      </c>
      <c r="C49" s="39" t="s">
        <v>1840</v>
      </c>
      <c r="D49" s="688" t="s">
        <v>1841</v>
      </c>
    </row>
    <row r="50" spans="1:4" x14ac:dyDescent="0.25">
      <c r="A50" s="645" t="s">
        <v>2267</v>
      </c>
      <c r="B50" s="403">
        <v>0.71379999999999999</v>
      </c>
      <c r="C50" s="39" t="s">
        <v>1848</v>
      </c>
      <c r="D50" s="688" t="s">
        <v>1841</v>
      </c>
    </row>
    <row r="51" spans="1:4" x14ac:dyDescent="0.25">
      <c r="A51" s="645" t="s">
        <v>2268</v>
      </c>
      <c r="B51" s="405">
        <v>1.6128</v>
      </c>
      <c r="C51" s="39" t="s">
        <v>1848</v>
      </c>
      <c r="D51" s="688" t="s">
        <v>1841</v>
      </c>
    </row>
    <row r="52" spans="1:4" x14ac:dyDescent="0.25">
      <c r="A52" s="645" t="s">
        <v>2269</v>
      </c>
      <c r="B52" s="406">
        <f>0.065373053</f>
        <v>6.5373053E-2</v>
      </c>
      <c r="C52" s="39" t="s">
        <v>1848</v>
      </c>
      <c r="D52" s="688" t="s">
        <v>1841</v>
      </c>
    </row>
    <row r="53" spans="1:4" ht="27" x14ac:dyDescent="0.25">
      <c r="A53" s="645" t="s">
        <v>2270</v>
      </c>
      <c r="B53" s="407">
        <f>0.443666666666667</f>
        <v>0.44366666666666699</v>
      </c>
      <c r="C53" s="39" t="s">
        <v>1848</v>
      </c>
      <c r="D53" s="688" t="s">
        <v>1859</v>
      </c>
    </row>
    <row r="54" spans="1:4" x14ac:dyDescent="0.25">
      <c r="A54" s="645" t="s">
        <v>2271</v>
      </c>
      <c r="B54" s="405">
        <v>25.0444</v>
      </c>
      <c r="C54" s="39" t="s">
        <v>1848</v>
      </c>
      <c r="D54" s="688" t="s">
        <v>1841</v>
      </c>
    </row>
    <row r="55" spans="1:4" x14ac:dyDescent="0.25">
      <c r="A55" s="645" t="s">
        <v>2272</v>
      </c>
      <c r="B55" s="405">
        <v>29.0869</v>
      </c>
      <c r="C55" s="39" t="s">
        <v>1848</v>
      </c>
      <c r="D55" s="688" t="s">
        <v>1841</v>
      </c>
    </row>
    <row r="56" spans="1:4" x14ac:dyDescent="0.25">
      <c r="A56" s="645" t="s">
        <v>2273</v>
      </c>
      <c r="B56" s="405">
        <v>10</v>
      </c>
      <c r="C56" s="39" t="s">
        <v>1848</v>
      </c>
      <c r="D56" s="688" t="s">
        <v>1867</v>
      </c>
    </row>
    <row r="57" spans="1:4" x14ac:dyDescent="0.25">
      <c r="A57" s="645" t="s">
        <v>2274</v>
      </c>
      <c r="B57" s="405">
        <v>20</v>
      </c>
      <c r="C57" s="39" t="s">
        <v>1848</v>
      </c>
      <c r="D57" s="688" t="s">
        <v>1871</v>
      </c>
    </row>
    <row r="58" spans="1:4" ht="27" x14ac:dyDescent="0.25">
      <c r="A58" s="645" t="s">
        <v>2275</v>
      </c>
      <c r="B58" s="405">
        <v>5.0029999999999998E-2</v>
      </c>
      <c r="C58" s="39" t="s">
        <v>1876</v>
      </c>
      <c r="D58" s="688" t="s">
        <v>1877</v>
      </c>
    </row>
    <row r="59" spans="1:4" x14ac:dyDescent="0.25">
      <c r="A59" s="643" t="s">
        <v>1566</v>
      </c>
      <c r="B59" s="408">
        <v>28</v>
      </c>
      <c r="C59" s="682"/>
      <c r="D59" s="303" t="s">
        <v>1567</v>
      </c>
    </row>
    <row r="60" spans="1:4" ht="15.75" thickBot="1" x14ac:dyDescent="0.3">
      <c r="A60" s="687" t="s">
        <v>1916</v>
      </c>
      <c r="B60" s="685">
        <v>265</v>
      </c>
      <c r="C60" s="682"/>
      <c r="D60" s="303" t="s">
        <v>1567</v>
      </c>
    </row>
    <row r="61" spans="1:4" s="607" customFormat="1" ht="15.75" thickBot="1" x14ac:dyDescent="0.3">
      <c r="A61" s="18" t="s">
        <v>2276</v>
      </c>
      <c r="B61" s="650"/>
      <c r="C61" s="650"/>
      <c r="D61" s="651"/>
    </row>
    <row r="62" spans="1:4" s="607" customFormat="1" x14ac:dyDescent="0.25">
      <c r="A62" s="257" t="s">
        <v>2277</v>
      </c>
      <c r="B62" s="339">
        <v>0.21</v>
      </c>
      <c r="C62" s="682" t="s">
        <v>2278</v>
      </c>
      <c r="D62" s="303" t="s">
        <v>2279</v>
      </c>
    </row>
    <row r="63" spans="1:4" x14ac:dyDescent="0.25">
      <c r="A63" s="257" t="s">
        <v>1913</v>
      </c>
      <c r="B63" s="339">
        <v>7.0000000000000007E-2</v>
      </c>
      <c r="C63" s="682" t="s">
        <v>1914</v>
      </c>
      <c r="D63" s="303" t="s">
        <v>1915</v>
      </c>
    </row>
    <row r="64" spans="1:4" x14ac:dyDescent="0.25">
      <c r="A64" s="687" t="s">
        <v>1917</v>
      </c>
      <c r="B64" s="339">
        <v>2.7</v>
      </c>
      <c r="C64" s="682" t="s">
        <v>1914</v>
      </c>
      <c r="D64" s="303" t="s">
        <v>1915</v>
      </c>
    </row>
    <row r="65" spans="1:6" x14ac:dyDescent="0.25">
      <c r="A65" s="687" t="s">
        <v>2280</v>
      </c>
      <c r="B65" s="685">
        <v>0.5</v>
      </c>
      <c r="C65" s="682" t="s">
        <v>210</v>
      </c>
      <c r="D65" s="303" t="s">
        <v>1925</v>
      </c>
      <c r="E65" s="692"/>
      <c r="F65" s="692"/>
    </row>
    <row r="66" spans="1:6" x14ac:dyDescent="0.25">
      <c r="A66" s="687" t="s">
        <v>1933</v>
      </c>
      <c r="B66" s="685">
        <v>1.25</v>
      </c>
      <c r="C66" s="682" t="s">
        <v>210</v>
      </c>
      <c r="D66" s="688" t="s">
        <v>1934</v>
      </c>
      <c r="E66" s="692"/>
      <c r="F66" s="842"/>
    </row>
    <row r="67" spans="1:6" s="678" customFormat="1" x14ac:dyDescent="0.25">
      <c r="A67" s="687" t="s">
        <v>1943</v>
      </c>
      <c r="B67" s="685">
        <v>0.36</v>
      </c>
      <c r="C67" s="682" t="s">
        <v>2281</v>
      </c>
      <c r="D67" s="688" t="s">
        <v>1925</v>
      </c>
      <c r="E67" s="692"/>
      <c r="F67" s="692"/>
    </row>
    <row r="68" spans="1:6" x14ac:dyDescent="0.25">
      <c r="A68" s="687" t="s">
        <v>1926</v>
      </c>
      <c r="B68" s="685">
        <v>1.2250000000000001</v>
      </c>
      <c r="C68" s="682" t="s">
        <v>210</v>
      </c>
      <c r="D68" s="303" t="s">
        <v>1927</v>
      </c>
      <c r="E68" s="692"/>
      <c r="F68" s="692"/>
    </row>
    <row r="69" spans="1:6" s="692" customFormat="1" ht="15.75" thickBot="1" x14ac:dyDescent="0.3">
      <c r="A69" s="647" t="s">
        <v>1893</v>
      </c>
      <c r="B69" s="648">
        <v>3.5000000000000003E-2</v>
      </c>
      <c r="C69" s="649" t="s">
        <v>1894</v>
      </c>
      <c r="D69" s="1057" t="s">
        <v>2282</v>
      </c>
    </row>
    <row r="70" spans="1:6" ht="15.75" thickBot="1" x14ac:dyDescent="0.3">
      <c r="A70" s="18" t="s">
        <v>2283</v>
      </c>
      <c r="B70" s="650"/>
      <c r="C70" s="650"/>
      <c r="D70" s="651"/>
      <c r="E70" s="692"/>
      <c r="F70" s="692"/>
    </row>
    <row r="71" spans="1:6" x14ac:dyDescent="0.25">
      <c r="A71" s="687" t="s">
        <v>2284</v>
      </c>
      <c r="B71" s="685">
        <v>34</v>
      </c>
      <c r="C71" s="682" t="s">
        <v>2285</v>
      </c>
      <c r="D71" s="692"/>
      <c r="E71" s="692"/>
      <c r="F71" s="692"/>
    </row>
    <row r="72" spans="1:6" s="692" customFormat="1" x14ac:dyDescent="0.25">
      <c r="A72" s="681" t="s">
        <v>2286</v>
      </c>
      <c r="B72" s="685">
        <v>91</v>
      </c>
      <c r="C72" s="682" t="s">
        <v>2285</v>
      </c>
    </row>
    <row r="73" spans="1:6" s="692" customFormat="1" x14ac:dyDescent="0.25">
      <c r="A73" s="681" t="s">
        <v>2287</v>
      </c>
      <c r="B73" s="685">
        <v>205.87</v>
      </c>
      <c r="C73" s="682" t="s">
        <v>2288</v>
      </c>
    </row>
    <row r="74" spans="1:6" s="692" customFormat="1" x14ac:dyDescent="0.25">
      <c r="A74" s="681" t="s">
        <v>2289</v>
      </c>
      <c r="B74" s="685">
        <v>1.95E-2</v>
      </c>
      <c r="C74" s="682" t="s">
        <v>1510</v>
      </c>
    </row>
    <row r="75" spans="1:6" s="692" customFormat="1" x14ac:dyDescent="0.25">
      <c r="A75" s="681"/>
      <c r="B75" s="685"/>
      <c r="C75" s="682"/>
    </row>
    <row r="76" spans="1:6" ht="15.75" x14ac:dyDescent="0.3">
      <c r="A76" s="4" t="s">
        <v>201</v>
      </c>
      <c r="B76" s="692"/>
      <c r="C76" s="692"/>
      <c r="D76" s="692"/>
      <c r="E76" s="692"/>
      <c r="F76" s="692"/>
    </row>
    <row r="77" spans="1:6" ht="15.75" x14ac:dyDescent="0.3">
      <c r="A77" s="4" t="s">
        <v>202</v>
      </c>
      <c r="B77" s="692"/>
      <c r="C77" s="692"/>
      <c r="D77" s="692"/>
      <c r="E77" s="692"/>
      <c r="F77" s="692"/>
    </row>
  </sheetData>
  <mergeCells count="1">
    <mergeCell ref="B1:D1"/>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Q296"/>
  <sheetViews>
    <sheetView showGridLines="0" tabSelected="1" topLeftCell="A3" zoomScale="70" zoomScaleNormal="70" workbookViewId="0">
      <selection activeCell="C13" sqref="C13"/>
    </sheetView>
  </sheetViews>
  <sheetFormatPr defaultColWidth="8.85546875" defaultRowHeight="15" x14ac:dyDescent="0.25"/>
  <cols>
    <col min="1" max="1" width="29.28515625" customWidth="1"/>
    <col min="2" max="2" width="10.42578125" customWidth="1"/>
    <col min="3" max="3" width="45.85546875" style="308" customWidth="1"/>
    <col min="4" max="4" width="57.42578125" style="587" customWidth="1"/>
    <col min="5" max="5" width="31.85546875" style="450" customWidth="1"/>
    <col min="6" max="7" width="19.42578125" style="21" customWidth="1"/>
    <col min="8" max="8" width="21" customWidth="1"/>
    <col min="9" max="9" width="50.42578125" customWidth="1"/>
    <col min="10" max="10" width="29.42578125" customWidth="1"/>
    <col min="11" max="11" width="48.42578125" customWidth="1"/>
    <col min="12" max="12" width="46.28515625" customWidth="1"/>
    <col min="13" max="13" width="14.42578125" customWidth="1"/>
    <col min="14" max="15" width="10.85546875" style="709" customWidth="1"/>
    <col min="16" max="16" width="17.140625" style="709" customWidth="1"/>
    <col min="17" max="17" width="11.28515625" customWidth="1"/>
  </cols>
  <sheetData>
    <row r="1" spans="1:16" ht="42.75" customHeight="1" thickBot="1" x14ac:dyDescent="0.35">
      <c r="A1" s="724" t="str">
        <f>'Input Data'!C1</f>
        <v>Calc v5.1.1ENG</v>
      </c>
      <c r="B1" s="323"/>
      <c r="C1" s="723" t="s">
        <v>203</v>
      </c>
      <c r="E1" s="438"/>
      <c r="F1" s="323"/>
      <c r="G1" s="323"/>
      <c r="H1" s="692"/>
      <c r="I1" s="297"/>
      <c r="J1" s="692"/>
      <c r="K1" s="692"/>
      <c r="L1" s="692"/>
      <c r="M1" s="692"/>
    </row>
    <row r="2" spans="1:16" ht="36.75" customHeight="1" thickBot="1" x14ac:dyDescent="0.3">
      <c r="A2" s="637"/>
      <c r="B2" s="372" t="s">
        <v>204</v>
      </c>
      <c r="C2" s="373">
        <f>'Input Data'!E6</f>
        <v>0</v>
      </c>
      <c r="D2" s="588"/>
      <c r="E2" s="373" t="s">
        <v>205</v>
      </c>
      <c r="F2" s="467" t="str">
        <f>MONTH('Input Data'!E8)&amp;"/"&amp;YEAR('Input Data'!E8)&amp;"-"&amp;MONTH('Input Data'!E9)&amp;"/"&amp;YEAR('Input Data'!E9)</f>
        <v>1/1900-1/1900</v>
      </c>
      <c r="H2" s="692"/>
      <c r="I2" s="692"/>
      <c r="J2" s="692"/>
      <c r="K2" s="692"/>
      <c r="L2" s="692"/>
      <c r="M2" s="692"/>
    </row>
    <row r="3" spans="1:16" ht="18.75" x14ac:dyDescent="0.3">
      <c r="A3" s="692"/>
      <c r="B3" s="692"/>
      <c r="C3" s="365" t="s">
        <v>206</v>
      </c>
      <c r="D3" s="589"/>
      <c r="E3" s="457"/>
      <c r="F3" s="453"/>
      <c r="H3" s="692"/>
      <c r="I3" s="858"/>
      <c r="J3" s="692"/>
      <c r="K3" s="692"/>
      <c r="L3" s="692"/>
      <c r="M3" s="374"/>
    </row>
    <row r="4" spans="1:16" ht="48.6" customHeight="1" x14ac:dyDescent="0.25">
      <c r="A4" s="692"/>
      <c r="B4" s="692"/>
      <c r="C4" s="1425" t="s">
        <v>207</v>
      </c>
      <c r="D4" s="1426"/>
      <c r="E4" s="1357"/>
      <c r="F4" s="1358"/>
      <c r="H4" s="858"/>
      <c r="I4" s="692"/>
      <c r="J4" s="858"/>
      <c r="K4" s="692"/>
      <c r="L4" s="692"/>
      <c r="M4" s="374"/>
    </row>
    <row r="5" spans="1:16" ht="16.5" x14ac:dyDescent="0.3">
      <c r="A5" s="692"/>
      <c r="B5" s="692"/>
      <c r="C5" s="1359" t="s">
        <v>208</v>
      </c>
      <c r="D5" s="1360" t="s">
        <v>209</v>
      </c>
      <c r="E5" s="439" t="s">
        <v>210</v>
      </c>
      <c r="F5" s="1361"/>
      <c r="H5" s="858"/>
      <c r="I5" s="692"/>
      <c r="J5" s="858"/>
      <c r="K5" s="692"/>
      <c r="L5" s="692"/>
      <c r="M5" s="374"/>
      <c r="N5" s="376"/>
    </row>
    <row r="6" spans="1:16" ht="16.5" x14ac:dyDescent="0.3">
      <c r="A6" s="692"/>
      <c r="B6" s="692"/>
      <c r="C6" s="1362"/>
      <c r="D6" s="1360"/>
      <c r="E6" s="439" t="s">
        <v>211</v>
      </c>
      <c r="F6" s="1361" t="str">
        <f>IF(COUNTIF(M38:M166,"XXX")&gt;0, "NOT COMPLIANT", "COMPLIANT")</f>
        <v>NOT COMPLIANT</v>
      </c>
      <c r="H6" s="858"/>
      <c r="I6" s="692"/>
      <c r="J6" s="858"/>
      <c r="K6" s="692"/>
      <c r="L6" s="692"/>
      <c r="M6" s="374"/>
    </row>
    <row r="7" spans="1:16" ht="16.5" x14ac:dyDescent="0.3">
      <c r="A7" s="692"/>
      <c r="B7" s="692"/>
      <c r="C7" s="1359" t="s">
        <v>212</v>
      </c>
      <c r="D7" s="1360"/>
      <c r="E7" s="439"/>
      <c r="F7" s="1361"/>
      <c r="H7" s="858"/>
      <c r="I7" s="692"/>
      <c r="J7" s="858"/>
      <c r="K7" s="692"/>
      <c r="L7" s="692"/>
      <c r="M7" s="374"/>
    </row>
    <row r="8" spans="1:16" ht="16.5" x14ac:dyDescent="0.3">
      <c r="A8" s="692"/>
      <c r="B8" s="692"/>
      <c r="C8" s="1362"/>
      <c r="D8" s="1360">
        <f>100-(COUNTIF(N38:N166,"OOO")*COUNTIF(N171:N177,"OOO"))*100/((COUNTA(G38:G166)+COUNTA(G171:G177))-(COUNTBLANK(G38:G166)+COUNTBLANK(G171:G177)))</f>
        <v>100</v>
      </c>
      <c r="E8" s="439" t="s">
        <v>210</v>
      </c>
      <c r="F8" s="1361"/>
      <c r="H8" s="692"/>
      <c r="I8" s="692"/>
      <c r="J8" s="692"/>
      <c r="K8" s="692"/>
      <c r="L8" s="692"/>
      <c r="M8" s="374"/>
    </row>
    <row r="9" spans="1:16" ht="16.5" x14ac:dyDescent="0.3">
      <c r="A9" s="692"/>
      <c r="B9" s="692"/>
      <c r="C9" s="1363"/>
      <c r="D9" s="1364"/>
      <c r="E9" s="1365" t="s">
        <v>213</v>
      </c>
      <c r="F9" s="1366" t="str">
        <f>IF(D8&gt;60,"COMPLIANT","NOT COMPLIANT")</f>
        <v>COMPLIANT</v>
      </c>
      <c r="H9" s="692"/>
      <c r="I9" s="692"/>
      <c r="J9" s="692"/>
      <c r="K9" s="692"/>
      <c r="L9" s="692"/>
      <c r="M9" s="374"/>
    </row>
    <row r="10" spans="1:16" ht="16.5" x14ac:dyDescent="0.3">
      <c r="A10" s="692"/>
      <c r="B10" s="692"/>
      <c r="F10" s="440"/>
      <c r="H10" s="692"/>
      <c r="I10" s="692"/>
      <c r="J10" s="692"/>
      <c r="K10" s="692"/>
      <c r="L10" s="692"/>
      <c r="M10" s="374"/>
    </row>
    <row r="11" spans="1:16" ht="16.5" x14ac:dyDescent="0.3">
      <c r="A11" s="692"/>
      <c r="B11" s="692"/>
      <c r="C11" s="1367" t="s">
        <v>214</v>
      </c>
      <c r="D11" s="1368"/>
      <c r="E11" s="1369"/>
      <c r="F11" s="1358"/>
      <c r="H11" s="692"/>
      <c r="I11" s="692"/>
      <c r="J11" s="692"/>
      <c r="K11" s="692"/>
      <c r="L11" s="692"/>
      <c r="M11" s="374"/>
    </row>
    <row r="12" spans="1:16" ht="14.1" customHeight="1" x14ac:dyDescent="0.3">
      <c r="A12" s="51"/>
      <c r="B12" s="692"/>
      <c r="C12" s="1370"/>
      <c r="D12" s="1371"/>
      <c r="E12" s="1372"/>
      <c r="F12" s="1361"/>
      <c r="H12" s="709"/>
      <c r="I12" s="1247"/>
      <c r="J12" s="692"/>
      <c r="K12" s="692"/>
      <c r="L12" s="692"/>
      <c r="M12" s="374"/>
    </row>
    <row r="13" spans="1:16" ht="16.5" x14ac:dyDescent="0.3">
      <c r="A13" s="692"/>
      <c r="B13" s="692"/>
      <c r="C13" s="1362" t="s">
        <v>215</v>
      </c>
      <c r="D13" s="575">
        <f>100-(COUNTIF(M38:M97,"XXX")/(COUNTA(G38:G97)-COUNTBLANK(G38:G97))*100)</f>
        <v>88.461538461538467</v>
      </c>
      <c r="E13" s="485" t="s">
        <v>210</v>
      </c>
      <c r="F13" s="1361"/>
      <c r="H13" s="692"/>
      <c r="I13" s="692"/>
      <c r="J13" s="692"/>
      <c r="K13" s="692"/>
      <c r="L13" s="692"/>
      <c r="M13" s="374"/>
    </row>
    <row r="14" spans="1:16" s="692" customFormat="1" ht="16.5" x14ac:dyDescent="0.3">
      <c r="C14" s="1362" t="s">
        <v>216</v>
      </c>
      <c r="D14" s="575">
        <f>100-(COUNTIF(M105:M157,"XXX")/(COUNTA(G105:G157)-COUNTBLANK(G105:G157))*100)</f>
        <v>87.5</v>
      </c>
      <c r="E14" s="485" t="s">
        <v>210</v>
      </c>
      <c r="F14" s="1361"/>
      <c r="G14" s="21"/>
      <c r="M14" s="374"/>
      <c r="N14" s="709"/>
      <c r="O14" s="709"/>
      <c r="P14" s="709"/>
    </row>
    <row r="15" spans="1:16" s="692" customFormat="1" ht="16.5" x14ac:dyDescent="0.3">
      <c r="C15" s="1362" t="s">
        <v>217</v>
      </c>
      <c r="D15" s="575">
        <f>100-(COUNTIF(M167:M177,"XXX")/(COUNTA(G166:G177)-COUNTBLANK(G166:G177))*100)</f>
        <v>100</v>
      </c>
      <c r="E15" s="485" t="s">
        <v>210</v>
      </c>
      <c r="F15" s="1361"/>
      <c r="G15" s="21"/>
      <c r="M15" s="374"/>
      <c r="N15" s="709"/>
      <c r="O15" s="709"/>
      <c r="P15" s="709"/>
    </row>
    <row r="16" spans="1:16" s="692" customFormat="1" ht="16.5" x14ac:dyDescent="0.3">
      <c r="C16" s="1362"/>
      <c r="D16" s="575"/>
      <c r="E16" s="485"/>
      <c r="F16" s="1361"/>
      <c r="G16" s="21"/>
      <c r="M16" s="374"/>
      <c r="N16" s="709"/>
      <c r="O16" s="709"/>
      <c r="P16" s="709"/>
    </row>
    <row r="17" spans="1:16" s="692" customFormat="1" ht="16.5" x14ac:dyDescent="0.3">
      <c r="C17" s="1362" t="s">
        <v>218</v>
      </c>
      <c r="D17" s="575">
        <f>100-(COUNTIF(N38:N97,"OOO")/(COUNTA(G38:G97)-COUNTBLANK(G38:G97))*100)</f>
        <v>96.15384615384616</v>
      </c>
      <c r="E17" s="485" t="s">
        <v>210</v>
      </c>
      <c r="F17" s="1361"/>
      <c r="G17" s="21"/>
      <c r="M17" s="374"/>
      <c r="N17" s="709"/>
      <c r="O17" s="709"/>
      <c r="P17" s="709"/>
    </row>
    <row r="18" spans="1:16" s="692" customFormat="1" ht="16.5" x14ac:dyDescent="0.3">
      <c r="C18" s="1362" t="s">
        <v>219</v>
      </c>
      <c r="D18" s="575">
        <f>100-(COUNTIF(N105:N157,"OOO")/(COUNTA(G105:G157)-COUNTBLANK(G105:G157))*100)</f>
        <v>87.5</v>
      </c>
      <c r="E18" s="485" t="s">
        <v>210</v>
      </c>
      <c r="F18" s="1361"/>
      <c r="G18" s="21"/>
      <c r="M18" s="374"/>
      <c r="N18" s="709"/>
      <c r="O18" s="709"/>
      <c r="P18" s="709"/>
    </row>
    <row r="19" spans="1:16" s="692" customFormat="1" ht="15.95" customHeight="1" x14ac:dyDescent="0.3">
      <c r="C19" s="1373" t="s">
        <v>220</v>
      </c>
      <c r="D19" s="1374">
        <f>100-(COUNTIF(N167:N177,"OOO")/(COUNTA(G167:G177)-COUNTBLANK(G167:G177))*100)</f>
        <v>100</v>
      </c>
      <c r="E19" s="1375" t="s">
        <v>210</v>
      </c>
      <c r="F19" s="1366"/>
      <c r="G19" s="21"/>
      <c r="M19" s="374"/>
      <c r="N19" s="709"/>
      <c r="O19" s="709"/>
      <c r="P19" s="709"/>
    </row>
    <row r="20" spans="1:16" ht="16.5" x14ac:dyDescent="0.3">
      <c r="A20" s="51"/>
      <c r="B20" s="692"/>
      <c r="C20" s="1376"/>
      <c r="D20" s="1377"/>
      <c r="E20" s="1100"/>
      <c r="F20" s="440"/>
      <c r="H20" s="692"/>
      <c r="I20" s="692"/>
      <c r="J20" s="692"/>
      <c r="K20" s="692"/>
      <c r="L20" s="692"/>
      <c r="M20" s="374"/>
    </row>
    <row r="21" spans="1:16" s="692" customFormat="1" ht="16.5" x14ac:dyDescent="0.3">
      <c r="C21" s="1367" t="s">
        <v>221</v>
      </c>
      <c r="D21" s="1368"/>
      <c r="E21" s="1369" t="s">
        <v>222</v>
      </c>
      <c r="F21" s="1358">
        <f>'Input Data'!E7</f>
        <v>0</v>
      </c>
      <c r="G21" s="440"/>
      <c r="H21" s="454"/>
      <c r="I21" s="458"/>
      <c r="J21" s="366"/>
      <c r="M21" s="374"/>
      <c r="N21" s="709"/>
      <c r="O21" s="709"/>
      <c r="P21" s="709"/>
    </row>
    <row r="22" spans="1:16" s="692" customFormat="1" ht="16.5" x14ac:dyDescent="0.3">
      <c r="C22" s="1362" t="s">
        <v>223</v>
      </c>
      <c r="D22" s="575">
        <f>(COUNTIF(G98:G104,"COMPLIANT")+COUNTIF(G158:G166,"COMPLIANT")+COUNTIF(G167:G177,"COMPLIANT"))*100/(((COUNTA(G98:G104)-COUNTBLANK(G98:G104))+(COUNTA(G158:G166)-COUNTBLANK(G158:G166))+(COUNTA(G167:G177)-COUNTBLANK(G167:G177))))</f>
        <v>61.53846153846154</v>
      </c>
      <c r="E22" s="485" t="s">
        <v>210</v>
      </c>
      <c r="F22" s="1361"/>
      <c r="G22" s="440"/>
      <c r="H22" s="454"/>
      <c r="I22" s="458"/>
      <c r="J22" s="366"/>
      <c r="M22" s="374"/>
      <c r="N22" s="709"/>
      <c r="O22" s="709"/>
      <c r="P22" s="709"/>
    </row>
    <row r="23" spans="1:16" s="692" customFormat="1" ht="16.5" x14ac:dyDescent="0.3">
      <c r="C23" s="1363"/>
      <c r="D23" s="1374"/>
      <c r="E23" s="1375" t="s">
        <v>224</v>
      </c>
      <c r="F23" s="1378" t="str">
        <f>IF(F21=0, "COMPLIANT", IF(OR(AND(F21=1,D22&gt;40),AND(F21=2,D22&gt;60),AND(F21&gt;=3,D22&gt;80)),"COMPLIANT","NOT COMPLIANT"))</f>
        <v>COMPLIANT</v>
      </c>
      <c r="G23" s="440"/>
      <c r="H23" s="454"/>
      <c r="I23" s="458"/>
      <c r="J23" s="366"/>
      <c r="M23" s="374"/>
      <c r="N23" s="709"/>
      <c r="O23" s="709"/>
      <c r="P23" s="709"/>
    </row>
    <row r="24" spans="1:16" s="692" customFormat="1" ht="17.25" thickBot="1" x14ac:dyDescent="0.35">
      <c r="C24" s="308"/>
      <c r="D24" s="587"/>
      <c r="E24" s="450"/>
      <c r="F24" s="1223"/>
      <c r="G24" s="440"/>
      <c r="H24" s="454"/>
      <c r="I24" s="458"/>
      <c r="J24" s="366"/>
      <c r="M24" s="374"/>
      <c r="N24" s="709"/>
      <c r="O24" s="709"/>
      <c r="P24" s="709"/>
    </row>
    <row r="25" spans="1:16" s="692" customFormat="1" ht="33" x14ac:dyDescent="0.3">
      <c r="C25" s="1379" t="str">
        <f>'Input Data'!D195</f>
        <v>Sustainability policy progressively implemented in whole supply area</v>
      </c>
      <c r="D25" s="1349" t="str">
        <f>'Input Data'!E195</f>
        <v>Yes</v>
      </c>
      <c r="E25" s="1350" t="s">
        <v>211</v>
      </c>
      <c r="F25" s="433" t="str">
        <f>IF(AND(D25="Yes", D26="YES",D27="YES",D28="YES"),"COMPLIANT","NOT COMPLIANT")</f>
        <v>COMPLIANT</v>
      </c>
      <c r="G25" s="440"/>
      <c r="H25" s="454"/>
      <c r="I25" s="458"/>
      <c r="J25" s="366"/>
      <c r="M25" s="374"/>
      <c r="N25" s="709"/>
      <c r="O25" s="709"/>
      <c r="P25" s="709"/>
    </row>
    <row r="26" spans="1:16" s="692" customFormat="1" ht="44.1" customHeight="1" x14ac:dyDescent="0.3">
      <c r="C26" s="1380" t="str">
        <f>'Input Data'!D196</f>
        <v xml:space="preserve">Risk and Impact Assessment are conducted progressively throughout whole supply area </v>
      </c>
      <c r="D26" s="1354" t="str">
        <f>'Input Data'!E196</f>
        <v>Yes</v>
      </c>
      <c r="E26" s="1348"/>
      <c r="F26" s="434"/>
      <c r="G26" s="440"/>
      <c r="H26" s="454"/>
      <c r="I26" s="458"/>
      <c r="J26" s="366"/>
      <c r="M26" s="374"/>
      <c r="N26" s="709"/>
      <c r="O26" s="709"/>
      <c r="P26" s="709"/>
    </row>
    <row r="27" spans="1:16" s="692" customFormat="1" ht="46.5" customHeight="1" x14ac:dyDescent="0.3">
      <c r="C27" s="1380" t="str">
        <f>'Input Data'!D197</f>
        <v xml:space="preserve">Management Plans are developed progressively throughout the supply area </v>
      </c>
      <c r="D27" s="1354" t="str">
        <f>'Input Data'!E197</f>
        <v>Yes</v>
      </c>
      <c r="E27" s="1348"/>
      <c r="F27" s="434"/>
      <c r="G27" s="440"/>
      <c r="H27" s="454"/>
      <c r="I27" s="458"/>
      <c r="J27" s="366"/>
      <c r="M27" s="374"/>
      <c r="N27" s="709"/>
      <c r="O27" s="709"/>
      <c r="P27" s="709"/>
    </row>
    <row r="28" spans="1:16" s="692" customFormat="1" ht="60.6" customHeight="1" x14ac:dyDescent="0.3">
      <c r="B28" s="51"/>
      <c r="C28" s="1381" t="str">
        <f>'Input Data'!D198</f>
        <v>Corrective actions are implemented and management review conducted progressively throughout the supply area</v>
      </c>
      <c r="D28" s="1354" t="str">
        <f>'Input Data'!E198</f>
        <v>Yes</v>
      </c>
      <c r="E28" s="485"/>
      <c r="F28" s="434" t="str">
        <f>IF(F21=0, "", IF(AND(F21&gt;=1, D28="Yes"), "COMPLIANT", "NOT COMPLIANT"))</f>
        <v/>
      </c>
      <c r="G28" s="440" t="s">
        <v>225</v>
      </c>
      <c r="H28" s="454"/>
      <c r="I28" s="458"/>
      <c r="J28" s="366"/>
      <c r="M28" s="374"/>
      <c r="N28" s="709"/>
      <c r="O28" s="709"/>
      <c r="P28" s="709"/>
    </row>
    <row r="29" spans="1:16" s="692" customFormat="1" ht="15" customHeight="1" x14ac:dyDescent="0.3">
      <c r="B29" s="51"/>
      <c r="C29" s="1351"/>
      <c r="D29" s="1252"/>
      <c r="E29" s="485"/>
      <c r="F29" s="434"/>
      <c r="G29" s="440"/>
      <c r="H29" s="454"/>
      <c r="I29" s="458"/>
      <c r="J29" s="366"/>
      <c r="M29" s="374"/>
      <c r="N29" s="709"/>
      <c r="O29" s="709"/>
      <c r="P29" s="709"/>
    </row>
    <row r="30" spans="1:16" s="692" customFormat="1" ht="17.25" thickBot="1" x14ac:dyDescent="0.35">
      <c r="B30" s="51"/>
      <c r="C30" s="461"/>
      <c r="D30" s="1352" t="s">
        <v>226</v>
      </c>
      <c r="E30" s="1353"/>
      <c r="F30" s="435" t="str">
        <f>IF(AND(F21=0,F25="COMPLIANT"),"COMPLIANT",IF(F25=F30,F30,"NOT COMPLIANT"))</f>
        <v>COMPLIANT</v>
      </c>
      <c r="G30" s="440"/>
      <c r="H30" s="454"/>
      <c r="I30" s="458"/>
      <c r="J30" s="366"/>
      <c r="M30" s="374"/>
      <c r="N30" s="709"/>
      <c r="O30" s="709"/>
      <c r="P30" s="709"/>
    </row>
    <row r="31" spans="1:16" s="692" customFormat="1" ht="17.25" thickBot="1" x14ac:dyDescent="0.35">
      <c r="C31" s="897"/>
      <c r="D31" s="575"/>
      <c r="E31" s="439"/>
      <c r="F31" s="898"/>
      <c r="G31" s="440"/>
      <c r="H31" s="454"/>
      <c r="I31" s="458"/>
      <c r="J31" s="366"/>
      <c r="M31" s="374"/>
      <c r="N31" s="709"/>
      <c r="O31" s="709"/>
      <c r="P31" s="709"/>
    </row>
    <row r="32" spans="1:16" s="692" customFormat="1" ht="16.5" x14ac:dyDescent="0.3">
      <c r="C32" s="459" t="s">
        <v>227</v>
      </c>
      <c r="D32" s="590"/>
      <c r="E32" s="899"/>
      <c r="F32" s="433"/>
      <c r="G32" s="440"/>
      <c r="H32" s="454"/>
      <c r="I32" s="458"/>
      <c r="J32" s="366"/>
      <c r="M32" s="374"/>
      <c r="N32" s="709"/>
      <c r="O32" s="709"/>
      <c r="P32" s="709"/>
    </row>
    <row r="33" spans="1:16" s="692" customFormat="1" ht="16.5" x14ac:dyDescent="0.3">
      <c r="C33" s="460"/>
      <c r="D33" s="591"/>
      <c r="E33" s="439"/>
      <c r="F33" s="434"/>
      <c r="G33" s="440"/>
      <c r="H33" s="1224"/>
      <c r="I33" s="458"/>
      <c r="J33" s="366"/>
      <c r="M33" s="374"/>
      <c r="N33" s="709"/>
      <c r="O33" s="709"/>
      <c r="P33" s="709"/>
    </row>
    <row r="34" spans="1:16" s="692" customFormat="1" ht="17.25" thickBot="1" x14ac:dyDescent="0.35">
      <c r="C34" s="461"/>
      <c r="D34" s="592" t="s">
        <v>226</v>
      </c>
      <c r="E34" s="900"/>
      <c r="F34" s="435" t="str">
        <f>IF(AND(F6="COMPLIANT", F9="COMPLIANT", F23="COMPLIANT", F30="COMPLIANT"), "COMPLIANT", "NOT COMPLIANT")</f>
        <v>NOT COMPLIANT</v>
      </c>
      <c r="G34" s="440"/>
      <c r="H34" s="454"/>
      <c r="I34" s="458"/>
      <c r="J34" s="366"/>
      <c r="M34" s="374"/>
      <c r="N34" s="709"/>
      <c r="O34" s="709"/>
      <c r="P34" s="709"/>
    </row>
    <row r="35" spans="1:16" ht="22.5" customHeight="1" x14ac:dyDescent="0.3">
      <c r="A35" s="692"/>
      <c r="B35" s="440"/>
      <c r="H35" s="454"/>
      <c r="I35" s="458"/>
      <c r="J35" s="366"/>
      <c r="K35" s="692"/>
      <c r="L35" s="692"/>
      <c r="M35" s="374"/>
    </row>
    <row r="36" spans="1:16" s="692" customFormat="1" ht="24.95" customHeight="1" thickBot="1" x14ac:dyDescent="0.4">
      <c r="B36" s="352">
        <f>COUNTIF(B38:B166,"Core")+COUNTIF(B171:B177,"Core")</f>
        <v>65</v>
      </c>
      <c r="C36" s="987"/>
      <c r="D36" s="593"/>
      <c r="E36" s="441"/>
      <c r="F36" s="455"/>
      <c r="G36" s="455"/>
      <c r="H36" s="315"/>
      <c r="I36" s="462"/>
      <c r="J36" s="298"/>
      <c r="M36" s="374"/>
      <c r="N36" s="709"/>
      <c r="O36" s="709"/>
      <c r="P36" s="709"/>
    </row>
    <row r="37" spans="1:16" s="692" customFormat="1" ht="12.95" customHeight="1" thickBot="1" x14ac:dyDescent="0.35">
      <c r="A37" s="482" t="s">
        <v>228</v>
      </c>
      <c r="B37" s="486"/>
      <c r="C37" s="486"/>
      <c r="D37" s="486" t="s">
        <v>229</v>
      </c>
      <c r="E37" s="594" t="s">
        <v>230</v>
      </c>
      <c r="F37" s="487"/>
      <c r="G37" s="486" t="s">
        <v>231</v>
      </c>
      <c r="H37" s="482" t="s">
        <v>232</v>
      </c>
      <c r="I37" s="606" t="s">
        <v>233</v>
      </c>
      <c r="J37" s="488"/>
      <c r="K37" s="486" t="s">
        <v>234</v>
      </c>
      <c r="L37" s="487"/>
      <c r="N37" s="709"/>
      <c r="O37" s="709"/>
      <c r="P37" s="709"/>
    </row>
    <row r="38" spans="1:16" s="692" customFormat="1" ht="18.600000000000001" customHeight="1" x14ac:dyDescent="0.3">
      <c r="A38" s="1272" t="s">
        <v>235</v>
      </c>
      <c r="B38" s="1295" t="s">
        <v>236</v>
      </c>
      <c r="C38" s="1304" t="str">
        <f>'P1 Agric'!A5</f>
        <v>Company Results 1.1.1</v>
      </c>
      <c r="D38" s="1279" t="str">
        <f>'P1 Agric'!B5</f>
        <v>Sustainability policy in place</v>
      </c>
      <c r="E38" s="1280" t="str">
        <f>'P1 Agric'!C5</f>
        <v>Yes</v>
      </c>
      <c r="F38" s="1281"/>
      <c r="G38" s="1282" t="str">
        <f>'P1 Agric'!E5</f>
        <v>COMPLIANT</v>
      </c>
      <c r="H38" s="1283" t="str">
        <f>'P1 Agric'!C3</f>
        <v>Yes</v>
      </c>
      <c r="I38" s="1284" t="s">
        <v>237</v>
      </c>
      <c r="J38" s="1285"/>
      <c r="K38" s="1430" t="str">
        <f>'P1 Agric'!A1</f>
        <v>Principle 1.</v>
      </c>
      <c r="L38" s="1427" t="str">
        <f>'P1 Agric'!B1</f>
        <v>ASSESS AND MANAGE ENVIRONMENTAL, SOCIAL &amp; HUMAN RIGHTS RISKS</v>
      </c>
      <c r="M38" s="21" t="str">
        <f>IF(AND(B38= "Core", G38="NOT COMPLIANT"),"XXX","")</f>
        <v/>
      </c>
      <c r="N38" s="709" t="str">
        <f>IF(AND(B38= "Non-core", G38="NOT COMPLIANT"),"OOO","")</f>
        <v/>
      </c>
      <c r="O38" s="709"/>
      <c r="P38" s="709"/>
    </row>
    <row r="39" spans="1:16" s="692" customFormat="1" ht="12.95" customHeight="1" x14ac:dyDescent="0.3">
      <c r="A39" s="1261"/>
      <c r="B39" s="1296" t="s">
        <v>236</v>
      </c>
      <c r="C39" s="816" t="str">
        <f>'P1 Agric'!A10</f>
        <v>Company Results 1.2.1</v>
      </c>
      <c r="D39" s="887" t="str">
        <f>'P1 Agric'!B10</f>
        <v>Mapping of stakeholders is conducted</v>
      </c>
      <c r="E39" s="891" t="str">
        <f>'P1 Agric'!C10</f>
        <v>Yes</v>
      </c>
      <c r="F39" s="887"/>
      <c r="G39" s="822" t="str">
        <f>'P1 Agric'!E10</f>
        <v>COMPLIANT</v>
      </c>
      <c r="H39" s="1124" t="str">
        <f>'P1 Agric'!C8</f>
        <v>Yes</v>
      </c>
      <c r="I39" s="1125" t="s">
        <v>238</v>
      </c>
      <c r="J39" s="1126"/>
      <c r="K39" s="1431"/>
      <c r="L39" s="1428"/>
      <c r="M39" s="21" t="str">
        <f t="shared" ref="M39:M101" si="0">IF(AND(B39= "Core", G39="NOT COMPLIANT"),"XXX","")</f>
        <v/>
      </c>
      <c r="N39" s="709"/>
      <c r="O39" s="709"/>
      <c r="P39" s="709"/>
    </row>
    <row r="40" spans="1:16" s="692" customFormat="1" ht="12.95" customHeight="1" x14ac:dyDescent="0.3">
      <c r="A40" s="1261"/>
      <c r="B40" s="1297" t="s">
        <v>236</v>
      </c>
      <c r="C40" s="1271" t="str">
        <f>'P1 Agric'!A15</f>
        <v>Company Results 1.2.2</v>
      </c>
      <c r="D40" s="1273" t="str">
        <f>'P1 Agric'!B15</f>
        <v>Risk and Impact Assessment are conducted</v>
      </c>
      <c r="E40" s="1231" t="str">
        <f>'P1 Agric'!C15</f>
        <v>Yes</v>
      </c>
      <c r="F40" s="1273"/>
      <c r="G40" s="1274" t="str">
        <f>'P1 Agric'!E15</f>
        <v>COMPLIANT</v>
      </c>
      <c r="H40" s="1275" t="str">
        <f>'P1 Agric'!C13</f>
        <v>Yes</v>
      </c>
      <c r="I40" s="1276"/>
      <c r="J40" s="1286"/>
      <c r="K40" s="1431"/>
      <c r="L40" s="1428"/>
      <c r="M40" s="21" t="str">
        <f t="shared" si="0"/>
        <v/>
      </c>
      <c r="N40" s="709"/>
      <c r="O40" s="709"/>
      <c r="P40" s="709"/>
    </row>
    <row r="41" spans="1:16" s="692" customFormat="1" ht="12.95" customHeight="1" x14ac:dyDescent="0.3">
      <c r="A41" s="1262"/>
      <c r="B41" s="1298" t="s">
        <v>236</v>
      </c>
      <c r="C41" s="816" t="str">
        <f>'P1 Agric'!A20</f>
        <v xml:space="preserve">Company Results 1.3.1 </v>
      </c>
      <c r="D41" s="887" t="str">
        <f>'P1 Agric'!B20</f>
        <v>Management Plans are developed and Implemented</v>
      </c>
      <c r="E41" s="891" t="str">
        <f>'P1 Agric'!C20</f>
        <v>Yes</v>
      </c>
      <c r="F41" s="887"/>
      <c r="G41" s="822" t="str">
        <f>'P1 Agric'!E20</f>
        <v>COMPLIANT</v>
      </c>
      <c r="H41" s="1124" t="str">
        <f>'P1 Agric'!C18</f>
        <v>Yes</v>
      </c>
      <c r="I41" s="1125" t="s">
        <v>239</v>
      </c>
      <c r="J41" s="1126"/>
      <c r="K41" s="1431"/>
      <c r="L41" s="1428"/>
      <c r="M41" s="21" t="str">
        <f t="shared" si="0"/>
        <v/>
      </c>
      <c r="N41" s="709"/>
      <c r="O41" s="709"/>
      <c r="P41" s="709"/>
    </row>
    <row r="42" spans="1:16" s="692" customFormat="1" ht="12.95" customHeight="1" x14ac:dyDescent="0.3">
      <c r="A42" s="1261"/>
      <c r="B42" s="1298" t="s">
        <v>240</v>
      </c>
      <c r="C42" s="816" t="str">
        <f>'P1 Agric'!A25</f>
        <v>Company Results 1.3.2</v>
      </c>
      <c r="D42" s="887" t="str">
        <f>'P1 Agric'!B25</f>
        <v>Standard Operating Procedures are in place</v>
      </c>
      <c r="E42" s="891" t="str">
        <f>'P1 Agric'!C25</f>
        <v>Yes</v>
      </c>
      <c r="F42" s="887"/>
      <c r="G42" s="822" t="str">
        <f>'P1 Agric'!E25</f>
        <v>COMPLIANT</v>
      </c>
      <c r="H42" s="1124" t="str">
        <f>'P1 Agric'!C23</f>
        <v>Yes</v>
      </c>
      <c r="I42" s="1125"/>
      <c r="J42" s="1126"/>
      <c r="K42" s="1431"/>
      <c r="L42" s="1428"/>
      <c r="M42" s="21" t="str">
        <f t="shared" si="0"/>
        <v/>
      </c>
      <c r="N42" s="709"/>
      <c r="O42" s="709"/>
      <c r="P42" s="709"/>
    </row>
    <row r="43" spans="1:16" s="692" customFormat="1" ht="12.95" customHeight="1" x14ac:dyDescent="0.3">
      <c r="A43" s="1261"/>
      <c r="B43" s="1298" t="s">
        <v>236</v>
      </c>
      <c r="C43" s="816" t="str">
        <f>'P1 Agric'!A30</f>
        <v>Company Results 1.3.3</v>
      </c>
      <c r="D43" s="887" t="str">
        <f>'P1 Agric'!B30</f>
        <v>system in place to demostrate compliance with applicable laws, commitments, rights &amp; other requirments</v>
      </c>
      <c r="E43" s="891" t="str">
        <f>'P1 Agric'!C30</f>
        <v>Yes</v>
      </c>
      <c r="F43" s="887"/>
      <c r="G43" s="822" t="str">
        <f>'P1 Agric'!E30</f>
        <v>COMPLIANT</v>
      </c>
      <c r="H43" s="1124" t="str">
        <f>'P1 Agric'!C28</f>
        <v>Yes</v>
      </c>
      <c r="I43" s="1125"/>
      <c r="J43" s="1126"/>
      <c r="K43" s="1431"/>
      <c r="L43" s="1428"/>
      <c r="M43" s="21" t="str">
        <f t="shared" si="0"/>
        <v/>
      </c>
      <c r="N43" s="709"/>
      <c r="O43" s="709"/>
      <c r="P43" s="709"/>
    </row>
    <row r="44" spans="1:16" s="692" customFormat="1" ht="12.95" customHeight="1" x14ac:dyDescent="0.3">
      <c r="A44" s="1261"/>
      <c r="B44" s="1299" t="s">
        <v>240</v>
      </c>
      <c r="C44" s="1271" t="str">
        <f>'P1 Agric'!A35</f>
        <v>Company Results 1.3.4</v>
      </c>
      <c r="D44" s="1273" t="str">
        <f>'P1 Agric'!B35</f>
        <v>Use of land and resources does not diminish rights of other users without their FPIC</v>
      </c>
      <c r="E44" s="1231" t="str">
        <f>'P1 Agric'!C35</f>
        <v>Yes</v>
      </c>
      <c r="F44" s="1273"/>
      <c r="G44" s="1274" t="str">
        <f>'P1 Agric'!E35</f>
        <v>COMPLIANT</v>
      </c>
      <c r="H44" s="1275" t="str">
        <f>'P1 Agric'!C33</f>
        <v>Yes</v>
      </c>
      <c r="I44" s="1276"/>
      <c r="J44" s="1286"/>
      <c r="K44" s="1431"/>
      <c r="L44" s="1428"/>
      <c r="M44" s="21" t="str">
        <f t="shared" si="0"/>
        <v/>
      </c>
      <c r="N44" s="709"/>
      <c r="O44" s="709"/>
      <c r="P44" s="709"/>
    </row>
    <row r="45" spans="1:16" ht="15.75" x14ac:dyDescent="0.3">
      <c r="A45" s="1262"/>
      <c r="B45" s="1298" t="s">
        <v>240</v>
      </c>
      <c r="C45" s="816" t="str">
        <f>'P1 Agric'!A42</f>
        <v>Company Results 1.4.1</v>
      </c>
      <c r="D45" s="887" t="str">
        <f>'P1 Agric'!B42</f>
        <v>Monitoring mechanisms are in place to ensure that corrective actions are implemented, and management review conducted</v>
      </c>
      <c r="E45" s="891" t="str">
        <f>'P1 Agric'!C42</f>
        <v>Yes</v>
      </c>
      <c r="F45" s="887"/>
      <c r="G45" s="822" t="str">
        <f>'P1 Agric'!E42</f>
        <v>COMPLIANT</v>
      </c>
      <c r="H45" s="1124" t="str">
        <f>'P1 Agric'!C38</f>
        <v>Yes</v>
      </c>
      <c r="I45" s="1125" t="s">
        <v>241</v>
      </c>
      <c r="J45" s="1126"/>
      <c r="K45" s="1431"/>
      <c r="L45" s="1428"/>
      <c r="M45" s="21" t="str">
        <f t="shared" si="0"/>
        <v/>
      </c>
    </row>
    <row r="46" spans="1:16" s="692" customFormat="1" ht="15.75" x14ac:dyDescent="0.3">
      <c r="A46" s="1261"/>
      <c r="B46" s="1298" t="s">
        <v>236</v>
      </c>
      <c r="C46" s="816" t="str">
        <f>'P1 Agric'!A51</f>
        <v>Company Results 1.4.2</v>
      </c>
      <c r="D46" s="887" t="str">
        <f>'P1 Agric'!B51</f>
        <v>Land &amp; water claims that are legitimately contested by other users</v>
      </c>
      <c r="E46" s="891" t="str">
        <f>'P1 Agric'!C51</f>
        <v>0/0</v>
      </c>
      <c r="F46" s="887"/>
      <c r="G46" s="822" t="str">
        <f>'P1 Agric'!E51</f>
        <v>COMPLIANT</v>
      </c>
      <c r="H46" s="1124">
        <f>'P1 Agric'!C49</f>
        <v>0</v>
      </c>
      <c r="I46" s="1125"/>
      <c r="J46" s="1126"/>
      <c r="K46" s="1431"/>
      <c r="L46" s="1428"/>
      <c r="M46" s="21" t="str">
        <f t="shared" si="0"/>
        <v/>
      </c>
      <c r="N46" s="709"/>
      <c r="O46" s="709"/>
      <c r="P46" s="709"/>
    </row>
    <row r="47" spans="1:16" s="692" customFormat="1" ht="15.75" x14ac:dyDescent="0.3">
      <c r="A47" s="1262"/>
      <c r="B47" s="1299" t="s">
        <v>240</v>
      </c>
      <c r="C47" s="1305" t="str">
        <f>'P1 Agric'!A56</f>
        <v>Company Results 1.4.3</v>
      </c>
      <c r="D47" s="1273" t="str">
        <f>'P1 Agric'!B56</f>
        <v>Grievance mechanism for communities are in place</v>
      </c>
      <c r="E47" s="1231" t="str">
        <f>'P1 Agric'!C56</f>
        <v>Yes</v>
      </c>
      <c r="F47" s="1273"/>
      <c r="G47" s="1274" t="str">
        <f>'P1 Agric'!E56</f>
        <v>COMPLIANT</v>
      </c>
      <c r="H47" s="1275" t="str">
        <f>'P1 Agric'!C54</f>
        <v>Yes</v>
      </c>
      <c r="I47" s="1276"/>
      <c r="J47" s="1277"/>
      <c r="K47" s="1432"/>
      <c r="L47" s="1429"/>
      <c r="M47" s="21" t="str">
        <f t="shared" si="0"/>
        <v/>
      </c>
      <c r="N47" s="709"/>
      <c r="O47" s="709"/>
      <c r="P47" s="709"/>
    </row>
    <row r="48" spans="1:16" s="692" customFormat="1" ht="27" x14ac:dyDescent="0.25">
      <c r="A48" s="1261"/>
      <c r="B48" s="1298" t="s">
        <v>236</v>
      </c>
      <c r="C48" s="816" t="str">
        <f>'P2 Agric'!A7</f>
        <v>Company Results 2.1.1</v>
      </c>
      <c r="D48" s="774" t="str">
        <f>'P2 Agric'!B7</f>
        <v xml:space="preserve"> Main health and safety hazards and risks are identified, documented, assessed, communicated to workers , and mitigated</v>
      </c>
      <c r="E48" s="880" t="str">
        <f>'P2 Agric'!$C$7</f>
        <v>Yes</v>
      </c>
      <c r="F48" s="816"/>
      <c r="G48" s="790" t="str">
        <f>'P2 Agric'!$E$7</f>
        <v>COMPLIANT</v>
      </c>
      <c r="H48" s="883" t="str">
        <f>'P2 Agric'!$C$3</f>
        <v>Yes</v>
      </c>
      <c r="I48" s="364" t="s">
        <v>242</v>
      </c>
      <c r="J48" s="1439" t="s">
        <v>243</v>
      </c>
      <c r="K48" s="1436" t="str">
        <f>'P2 Agric'!A1</f>
        <v>Principle 2.</v>
      </c>
      <c r="L48" s="1433" t="s">
        <v>244</v>
      </c>
      <c r="M48" s="21" t="str">
        <f t="shared" si="0"/>
        <v/>
      </c>
      <c r="N48" s="709"/>
      <c r="O48" s="709"/>
      <c r="P48" s="709"/>
    </row>
    <row r="49" spans="1:17" s="692" customFormat="1" ht="27" x14ac:dyDescent="0.25">
      <c r="A49" s="1261"/>
      <c r="B49" s="1298" t="s">
        <v>236</v>
      </c>
      <c r="C49" s="792" t="str">
        <f>'P2 Agric'!A12</f>
        <v>Company Results 2.1.2</v>
      </c>
      <c r="D49" s="855" t="str">
        <f>'P2 Agric'!B12</f>
        <v>Health and safety risks are managed through implemented and enforced plans</v>
      </c>
      <c r="E49" s="880" t="str">
        <f>'P2 Agric'!$C$12</f>
        <v>Yes</v>
      </c>
      <c r="F49" s="790"/>
      <c r="G49" s="790" t="str">
        <f>'P2 Agric'!$E$12</f>
        <v>COMPLIANT</v>
      </c>
      <c r="H49" s="883" t="str">
        <f>'P2 Agric'!$C$10</f>
        <v>Yes</v>
      </c>
      <c r="I49" s="901"/>
      <c r="J49" s="1440"/>
      <c r="K49" s="1437"/>
      <c r="L49" s="1434"/>
      <c r="M49" s="21" t="str">
        <f t="shared" si="0"/>
        <v/>
      </c>
      <c r="N49" s="709"/>
      <c r="O49" s="709"/>
      <c r="P49" s="709"/>
    </row>
    <row r="50" spans="1:17" s="692" customFormat="1" ht="27" x14ac:dyDescent="0.25">
      <c r="A50" s="1262"/>
      <c r="B50" s="1298" t="s">
        <v>236</v>
      </c>
      <c r="C50" s="792" t="s">
        <v>245</v>
      </c>
      <c r="D50" s="855" t="s">
        <v>246</v>
      </c>
      <c r="E50" s="880" t="str">
        <f>'P2 Agric'!$C$19</f>
        <v>Yes</v>
      </c>
      <c r="F50" s="790"/>
      <c r="G50" s="790" t="str">
        <f>'P2 Agric'!$E$19</f>
        <v>COMPLIANT</v>
      </c>
      <c r="H50" s="883" t="str">
        <f>'P2 Agric'!$C$15</f>
        <v>Yes</v>
      </c>
      <c r="I50" s="892"/>
      <c r="J50" s="1440"/>
      <c r="K50" s="1437"/>
      <c r="L50" s="1434"/>
      <c r="M50" s="21" t="str">
        <f t="shared" si="0"/>
        <v/>
      </c>
      <c r="N50" s="709"/>
      <c r="O50" s="709"/>
      <c r="P50" s="709"/>
    </row>
    <row r="51" spans="1:17" s="692" customFormat="1" ht="27" x14ac:dyDescent="0.25">
      <c r="A51" s="1262"/>
      <c r="B51" s="1298" t="s">
        <v>236</v>
      </c>
      <c r="C51" s="792" t="s">
        <v>247</v>
      </c>
      <c r="D51" s="855" t="s">
        <v>248</v>
      </c>
      <c r="E51" s="880" t="str">
        <f>'P2 Agric'!$C$24</f>
        <v>Yes</v>
      </c>
      <c r="F51" s="790"/>
      <c r="G51" s="790" t="str">
        <f>'P2 Agric'!$E$24</f>
        <v>COMPLIANT</v>
      </c>
      <c r="H51" s="883" t="str">
        <f>'P2 Agric'!$C$22</f>
        <v>Yes</v>
      </c>
      <c r="I51" s="892"/>
      <c r="J51" s="1440"/>
      <c r="K51" s="1437"/>
      <c r="L51" s="1434"/>
      <c r="M51" s="21" t="str">
        <f t="shared" si="0"/>
        <v/>
      </c>
      <c r="N51" s="709"/>
      <c r="O51" s="709"/>
      <c r="P51" s="709"/>
    </row>
    <row r="52" spans="1:17" s="692" customFormat="1" ht="27" x14ac:dyDescent="0.25">
      <c r="A52" s="1262"/>
      <c r="B52" s="1298" t="s">
        <v>240</v>
      </c>
      <c r="C52" s="792" t="s">
        <v>249</v>
      </c>
      <c r="D52" s="855" t="s">
        <v>250</v>
      </c>
      <c r="E52" s="880">
        <f>'P2 Agric'!$C$29</f>
        <v>0</v>
      </c>
      <c r="F52" s="790"/>
      <c r="G52" s="790" t="str">
        <f>'P2 Agric'!$E$29</f>
        <v>NOT COMPLIANT</v>
      </c>
      <c r="H52" s="883" t="str">
        <f>'P2 Agric'!$C$27</f>
        <v>&gt;90</v>
      </c>
      <c r="I52" s="892"/>
      <c r="J52" s="1440"/>
      <c r="K52" s="1437"/>
      <c r="L52" s="1434"/>
      <c r="M52" s="21" t="str">
        <f t="shared" si="0"/>
        <v/>
      </c>
      <c r="N52" s="709"/>
      <c r="O52" s="709"/>
      <c r="P52" s="709"/>
    </row>
    <row r="53" spans="1:17" x14ac:dyDescent="0.25">
      <c r="A53" s="1262"/>
      <c r="B53" s="1298" t="s">
        <v>236</v>
      </c>
      <c r="C53" s="792" t="s">
        <v>251</v>
      </c>
      <c r="D53" s="792" t="s">
        <v>252</v>
      </c>
      <c r="E53" s="880" t="str">
        <f>'P2 Agric'!$C$34</f>
        <v>Yes</v>
      </c>
      <c r="F53" s="790"/>
      <c r="G53" s="790" t="str">
        <f>'P2 Agric'!$E$34</f>
        <v>COMPLIANT</v>
      </c>
      <c r="H53" s="883" t="str">
        <f>'P2 Agric'!$C$32</f>
        <v>Yes</v>
      </c>
      <c r="I53" s="892"/>
      <c r="J53" s="1440"/>
      <c r="K53" s="1437"/>
      <c r="L53" s="1434"/>
      <c r="M53" s="21" t="str">
        <f t="shared" si="0"/>
        <v/>
      </c>
      <c r="Q53" s="692"/>
    </row>
    <row r="54" spans="1:17" x14ac:dyDescent="0.25">
      <c r="A54" s="1262"/>
      <c r="B54" s="1299" t="s">
        <v>240</v>
      </c>
      <c r="C54" s="912" t="s">
        <v>253</v>
      </c>
      <c r="D54" s="912" t="s">
        <v>254</v>
      </c>
      <c r="E54" s="875" t="e">
        <f>'P2 Agric'!$C$43</f>
        <v>#DIV/0!</v>
      </c>
      <c r="F54" s="914"/>
      <c r="G54" s="992" t="str">
        <f>'P2 Agric'!$E$43</f>
        <v/>
      </c>
      <c r="H54" s="993" t="str">
        <f>'P2 Agric'!$C$37</f>
        <v>&lt;30</v>
      </c>
      <c r="I54" s="916"/>
      <c r="J54" s="1441"/>
      <c r="K54" s="1437"/>
      <c r="L54" s="1434"/>
      <c r="M54" s="21" t="str">
        <f t="shared" si="0"/>
        <v/>
      </c>
      <c r="Q54" s="692"/>
    </row>
    <row r="55" spans="1:17" x14ac:dyDescent="0.25">
      <c r="A55" s="1262"/>
      <c r="B55" s="1296" t="s">
        <v>236</v>
      </c>
      <c r="C55" s="792" t="str">
        <f>'P2 Agric'!$A$48</f>
        <v>Company Results 2.2.1</v>
      </c>
      <c r="D55" s="792" t="str">
        <f>'P2 Agric'!$B$48</f>
        <v>Existence of a contract or equivalent document.</v>
      </c>
      <c r="E55" s="995">
        <f>'P2 Agric'!$C$48</f>
        <v>0</v>
      </c>
      <c r="F55" s="790"/>
      <c r="G55" s="996" t="str">
        <f>'P2 Agric'!$E$48</f>
        <v>NOT COMPLIANT</v>
      </c>
      <c r="H55" s="926">
        <f>'P2 Agric'!$C$46</f>
        <v>100</v>
      </c>
      <c r="I55" s="928" t="s">
        <v>255</v>
      </c>
      <c r="J55" s="1442" t="s">
        <v>256</v>
      </c>
      <c r="K55" s="1437"/>
      <c r="L55" s="1434"/>
      <c r="M55" s="21" t="str">
        <f t="shared" si="0"/>
        <v>XXX</v>
      </c>
      <c r="Q55" s="692"/>
    </row>
    <row r="56" spans="1:17" x14ac:dyDescent="0.25">
      <c r="A56" s="1262"/>
      <c r="B56" s="1298" t="s">
        <v>236</v>
      </c>
      <c r="C56" s="792" t="str">
        <f>'P2 Agric'!$A$59</f>
        <v>Company Results 2.2.2</v>
      </c>
      <c r="D56" s="792" t="str">
        <f>'P2 Agric'!$B$59</f>
        <v>Maximum number of hours worked</v>
      </c>
      <c r="E56" s="1002">
        <f>'P2 Agric'!$C$59</f>
        <v>0</v>
      </c>
      <c r="F56" s="792"/>
      <c r="G56" s="790" t="str">
        <f>'P2 Agric'!$E$59</f>
        <v/>
      </c>
      <c r="H56" s="926" t="str">
        <f>'P2 Agric'!$C$51</f>
        <v>&lt;=60</v>
      </c>
      <c r="I56" s="929"/>
      <c r="J56" s="1443"/>
      <c r="K56" s="1437"/>
      <c r="L56" s="1434"/>
      <c r="M56" s="21" t="str">
        <f t="shared" si="0"/>
        <v/>
      </c>
      <c r="Q56" s="692"/>
    </row>
    <row r="57" spans="1:17" s="692" customFormat="1" x14ac:dyDescent="0.25">
      <c r="A57" s="1262"/>
      <c r="B57" s="1298" t="s">
        <v>236</v>
      </c>
      <c r="C57" s="792" t="str">
        <f>'P2 Agric'!$A$64</f>
        <v>Company Results 2.2.3</v>
      </c>
      <c r="D57" s="792" t="str">
        <f>'P2 Agric'!$B$64</f>
        <v>Overtime work is paid at a premium rate</v>
      </c>
      <c r="E57" s="1002">
        <f>'P2 Agric'!$C$64</f>
        <v>0</v>
      </c>
      <c r="F57" s="770" t="s">
        <v>257</v>
      </c>
      <c r="G57" s="1003" t="str">
        <f>'P2 Agric'!$E$64</f>
        <v>NOT COMPLIANT</v>
      </c>
      <c r="H57" s="926">
        <f>'P2 Agric'!$C$62</f>
        <v>25</v>
      </c>
      <c r="I57" s="929"/>
      <c r="J57" s="1443"/>
      <c r="K57" s="1437"/>
      <c r="L57" s="1434"/>
      <c r="M57" s="21" t="str">
        <f t="shared" si="0"/>
        <v>XXX</v>
      </c>
      <c r="N57" s="709"/>
      <c r="O57" s="709"/>
      <c r="P57" s="709"/>
    </row>
    <row r="58" spans="1:17" s="692" customFormat="1" ht="27" x14ac:dyDescent="0.25">
      <c r="A58" s="1262"/>
      <c r="B58" s="1298" t="s">
        <v>236</v>
      </c>
      <c r="C58" s="792" t="str">
        <f>'P2 Agric'!$A$73</f>
        <v>Company Results 2.2.4</v>
      </c>
      <c r="D58" s="855" t="str">
        <f>'P2 Agric'!$B$73</f>
        <v>Ratio of lowest entry level wage including benefits to  minimum wage and benefits .</v>
      </c>
      <c r="E58" s="1002">
        <f>'P2 Agric'!$C$73</f>
        <v>0</v>
      </c>
      <c r="F58" s="770"/>
      <c r="G58" s="790" t="str">
        <f>'P2 Agric'!$E$73</f>
        <v>NOT COMPLIANT</v>
      </c>
      <c r="H58" s="926" t="str">
        <f>'P2 Agric'!$C$67</f>
        <v>&gt;1</v>
      </c>
      <c r="I58" s="929"/>
      <c r="J58" s="1443"/>
      <c r="K58" s="1437"/>
      <c r="L58" s="1434"/>
      <c r="M58" s="21" t="str">
        <f t="shared" si="0"/>
        <v>XXX</v>
      </c>
      <c r="N58" s="709"/>
      <c r="O58" s="709"/>
      <c r="P58" s="709"/>
    </row>
    <row r="59" spans="1:17" s="692" customFormat="1" x14ac:dyDescent="0.25">
      <c r="A59" s="1262"/>
      <c r="B59" s="1298" t="s">
        <v>240</v>
      </c>
      <c r="C59" s="792" t="str">
        <f>'P2 Agric'!$A$82</f>
        <v>Company Results 2.2.5</v>
      </c>
      <c r="D59" s="855" t="str">
        <f>'P2 Agric'!$B$82</f>
        <v>Minimum wage is guaranteed to piece rate paid workers</v>
      </c>
      <c r="E59" s="875">
        <f>'P2 Agric'!$C$82</f>
        <v>0</v>
      </c>
      <c r="F59" s="770"/>
      <c r="G59" s="790" t="str">
        <f>'P2 Agric'!$E$82</f>
        <v>NOT COMPLIANT</v>
      </c>
      <c r="H59" s="926" t="str">
        <f>'P2 Agric'!$C$76</f>
        <v>&gt;1</v>
      </c>
      <c r="I59" s="929"/>
      <c r="J59" s="1443"/>
      <c r="K59" s="1437"/>
      <c r="L59" s="1434"/>
      <c r="M59" s="21" t="str">
        <f t="shared" si="0"/>
        <v/>
      </c>
      <c r="N59" s="709"/>
      <c r="O59" s="709"/>
      <c r="P59" s="709"/>
    </row>
    <row r="60" spans="1:17" s="692" customFormat="1" ht="54" x14ac:dyDescent="0.25">
      <c r="A60" s="1262"/>
      <c r="B60" s="1299" t="s">
        <v>240</v>
      </c>
      <c r="C60" s="912" t="str">
        <f>'P2 Agric'!$A$95</f>
        <v>Company Results 2.2.6</v>
      </c>
      <c r="D60" s="917" t="str">
        <f>'P2 Agric'!$B$95</f>
        <v>Movement to close living wage gap</v>
      </c>
      <c r="E60" s="913" t="str">
        <f>'P2 Agric'!$C$95</f>
        <v/>
      </c>
      <c r="F60" s="918"/>
      <c r="G60" s="914" t="str">
        <f>'P2 Agric'!$E$95</f>
        <v/>
      </c>
      <c r="H60" s="927" t="str">
        <f>'P2 Agric'!$C$85</f>
        <v>• 5% first certification period 
• 10% each successive certification period.10%</v>
      </c>
      <c r="I60" s="930"/>
      <c r="J60" s="1444"/>
      <c r="K60" s="1437"/>
      <c r="L60" s="1434"/>
      <c r="M60" s="21" t="str">
        <f t="shared" si="0"/>
        <v/>
      </c>
      <c r="N60" s="709"/>
      <c r="O60" s="709"/>
      <c r="P60" s="709"/>
    </row>
    <row r="61" spans="1:17" s="692" customFormat="1" x14ac:dyDescent="0.25">
      <c r="A61" s="1262"/>
      <c r="B61" s="1298" t="s">
        <v>236</v>
      </c>
      <c r="C61" s="792" t="s">
        <v>258</v>
      </c>
      <c r="D61" s="855" t="s">
        <v>259</v>
      </c>
      <c r="E61" s="880" t="str">
        <f>'P2 Agric'!$C$100</f>
        <v>Yes</v>
      </c>
      <c r="F61" s="770"/>
      <c r="G61" s="790" t="str">
        <f>'P2 Agric'!$E$100</f>
        <v>COMPLIANT</v>
      </c>
      <c r="H61" s="903" t="str">
        <f>'P2 Agric'!$C$98</f>
        <v>Yes</v>
      </c>
      <c r="I61" s="928" t="s">
        <v>260</v>
      </c>
      <c r="J61" s="934"/>
      <c r="K61" s="1437"/>
      <c r="L61" s="1434"/>
      <c r="M61" s="21" t="str">
        <f t="shared" si="0"/>
        <v/>
      </c>
      <c r="N61" s="709"/>
      <c r="O61" s="709"/>
      <c r="P61" s="709"/>
    </row>
    <row r="62" spans="1:17" s="692" customFormat="1" x14ac:dyDescent="0.25">
      <c r="A62" s="1262"/>
      <c r="B62" s="1298" t="s">
        <v>236</v>
      </c>
      <c r="C62" s="792" t="s">
        <v>261</v>
      </c>
      <c r="D62" s="855" t="s">
        <v>262</v>
      </c>
      <c r="E62" s="880" t="str">
        <f>'P2 Agric'!$C$105</f>
        <v>Yes</v>
      </c>
      <c r="F62" s="770"/>
      <c r="G62" s="790" t="str">
        <f>'P2 Agric'!$E$105</f>
        <v>COMPLIANT</v>
      </c>
      <c r="H62" s="903" t="str">
        <f>'P2 Agric'!$C$103</f>
        <v>Yes</v>
      </c>
      <c r="I62" s="901"/>
      <c r="J62" s="892"/>
      <c r="K62" s="1437"/>
      <c r="L62" s="1434"/>
      <c r="M62" s="21" t="str">
        <f t="shared" si="0"/>
        <v/>
      </c>
      <c r="N62" s="374"/>
      <c r="O62" s="709"/>
      <c r="P62" s="709"/>
      <c r="Q62" s="709"/>
    </row>
    <row r="63" spans="1:17" s="692" customFormat="1" ht="21.6" customHeight="1" x14ac:dyDescent="0.25">
      <c r="A63" s="1262"/>
      <c r="B63" s="1298" t="s">
        <v>236</v>
      </c>
      <c r="C63" s="792" t="s">
        <v>263</v>
      </c>
      <c r="D63" s="855" t="s">
        <v>264</v>
      </c>
      <c r="E63" s="880" t="str">
        <f>'P2 Agric'!$C$110</f>
        <v>Yes</v>
      </c>
      <c r="F63" s="770"/>
      <c r="G63" s="790" t="str">
        <f>'P2 Agric'!$E$110</f>
        <v>COMPLIANT</v>
      </c>
      <c r="H63" s="903" t="str">
        <f>'P2 Agric'!$C$108</f>
        <v>Yes</v>
      </c>
      <c r="I63" s="901"/>
      <c r="J63" s="892"/>
      <c r="K63" s="1437"/>
      <c r="L63" s="1434"/>
      <c r="M63" s="21" t="str">
        <f t="shared" si="0"/>
        <v/>
      </c>
      <c r="N63" s="374" t="str">
        <f>IF(AND(B38= "Non-core", G38="NOT COMPLIANT"),"OOO","")</f>
        <v/>
      </c>
      <c r="O63" s="709"/>
      <c r="P63" s="709"/>
      <c r="Q63" s="709"/>
    </row>
    <row r="64" spans="1:17" s="692" customFormat="1" ht="18.95" customHeight="1" x14ac:dyDescent="0.25">
      <c r="A64" s="1262"/>
      <c r="B64" s="1298" t="s">
        <v>236</v>
      </c>
      <c r="C64" s="792" t="s">
        <v>265</v>
      </c>
      <c r="D64" s="855" t="s">
        <v>266</v>
      </c>
      <c r="E64" s="880">
        <f>'P2 Agric'!$C$119</f>
        <v>0</v>
      </c>
      <c r="F64" s="770"/>
      <c r="G64" s="790" t="str">
        <f>'P2 Agric'!$E$119</f>
        <v>NON COMPLIANT</v>
      </c>
      <c r="H64" s="903" t="str">
        <f>'P2 Agric'!$C$113</f>
        <v>&gt; 18</v>
      </c>
      <c r="I64" s="901"/>
      <c r="J64" s="892"/>
      <c r="K64" s="1437"/>
      <c r="L64" s="1434"/>
      <c r="M64" s="21" t="str">
        <f t="shared" si="0"/>
        <v/>
      </c>
      <c r="N64" s="374" t="str">
        <f t="shared" ref="N64:N126" si="1">IF(AND(B39= "Non-core", G39="NOT COMPLIANT"),"OOO","")</f>
        <v/>
      </c>
      <c r="O64" s="709"/>
      <c r="P64" s="709"/>
      <c r="Q64" s="709"/>
    </row>
    <row r="65" spans="1:17" s="692" customFormat="1" ht="18.95" customHeight="1" x14ac:dyDescent="0.25">
      <c r="A65" s="1262"/>
      <c r="B65" s="1298" t="s">
        <v>236</v>
      </c>
      <c r="C65" s="912" t="s">
        <v>267</v>
      </c>
      <c r="D65" s="917" t="s">
        <v>268</v>
      </c>
      <c r="E65" s="913" t="str">
        <f>'P2 Agric'!$C$127</f>
        <v/>
      </c>
      <c r="F65" s="912" t="str">
        <f>'P2 Agric'!$D$127</f>
        <v>%</v>
      </c>
      <c r="G65" s="914" t="str">
        <f>'P2 Agric'!$E$127</f>
        <v>NOT COMPLIANT</v>
      </c>
      <c r="H65" s="915">
        <f>'P2 Agric'!$C$122</f>
        <v>100</v>
      </c>
      <c r="I65" s="925"/>
      <c r="J65" s="916"/>
      <c r="K65" s="1437"/>
      <c r="L65" s="1434"/>
      <c r="M65" s="21" t="str">
        <f t="shared" si="0"/>
        <v>XXX</v>
      </c>
      <c r="N65" s="374" t="str">
        <f t="shared" si="1"/>
        <v/>
      </c>
      <c r="O65" s="709"/>
      <c r="P65" s="709"/>
      <c r="Q65" s="709"/>
    </row>
    <row r="66" spans="1:17" s="692" customFormat="1" ht="29.1" customHeight="1" x14ac:dyDescent="0.25">
      <c r="A66" s="1262"/>
      <c r="B66" s="1300" t="s">
        <v>236</v>
      </c>
      <c r="C66" s="792" t="s">
        <v>269</v>
      </c>
      <c r="D66" s="855" t="s">
        <v>270</v>
      </c>
      <c r="E66" s="880" t="str">
        <f>'P2 Agric'!$C$132</f>
        <v>Yes</v>
      </c>
      <c r="F66" s="770"/>
      <c r="G66" s="790" t="str">
        <f>'P2 Agric'!$E$132</f>
        <v>COMPLIANT</v>
      </c>
      <c r="H66" s="903" t="str">
        <f>'P2 Agric'!$C$130</f>
        <v>Yes</v>
      </c>
      <c r="I66" s="928" t="s">
        <v>271</v>
      </c>
      <c r="J66" s="892"/>
      <c r="K66" s="1437"/>
      <c r="L66" s="1434"/>
      <c r="M66" s="21" t="str">
        <f t="shared" si="0"/>
        <v/>
      </c>
      <c r="N66" s="374" t="str">
        <f t="shared" si="1"/>
        <v/>
      </c>
      <c r="O66" s="709"/>
      <c r="P66" s="709"/>
      <c r="Q66" s="709"/>
    </row>
    <row r="67" spans="1:17" s="692" customFormat="1" ht="18.95" customHeight="1" x14ac:dyDescent="0.25">
      <c r="A67" s="1262"/>
      <c r="B67" s="1298" t="s">
        <v>236</v>
      </c>
      <c r="C67" s="792" t="s">
        <v>272</v>
      </c>
      <c r="D67" s="855" t="s">
        <v>273</v>
      </c>
      <c r="E67" s="880" t="str">
        <f>'P2 Agric'!$C$137</f>
        <v>Yes</v>
      </c>
      <c r="F67" s="770"/>
      <c r="G67" s="790" t="str">
        <f>'P2 Agric'!$E$137</f>
        <v>COMPLIANT</v>
      </c>
      <c r="H67" s="903" t="str">
        <f>'P2 Agric'!$C$135</f>
        <v>Yes</v>
      </c>
      <c r="I67" s="51"/>
      <c r="J67" s="51"/>
      <c r="K67" s="1437"/>
      <c r="L67" s="1434"/>
      <c r="M67" s="21" t="str">
        <f t="shared" si="0"/>
        <v/>
      </c>
      <c r="N67" s="374" t="str">
        <f>IF(AND(B42= "Non-core", G42="NOT COMPLIANT"),"OOO","")</f>
        <v/>
      </c>
      <c r="O67" s="709"/>
      <c r="P67" s="709"/>
      <c r="Q67" s="709"/>
    </row>
    <row r="68" spans="1:17" s="692" customFormat="1" ht="18.95" customHeight="1" thickBot="1" x14ac:dyDescent="0.3">
      <c r="A68" s="1262"/>
      <c r="B68" s="1299" t="s">
        <v>236</v>
      </c>
      <c r="C68" s="912" t="s">
        <v>274</v>
      </c>
      <c r="D68" s="917" t="s">
        <v>275</v>
      </c>
      <c r="E68" s="913" t="str">
        <f>'Whole supply area'!$C$27</f>
        <v>Yes</v>
      </c>
      <c r="F68" s="918"/>
      <c r="G68" s="914" t="str">
        <f>'Whole supply area'!$E$27</f>
        <v>COMPLIANT</v>
      </c>
      <c r="H68" s="915" t="str">
        <f>'Whole supply area'!$C$25</f>
        <v>Yes</v>
      </c>
      <c r="I68" s="839"/>
      <c r="J68" s="839"/>
      <c r="K68" s="1438"/>
      <c r="L68" s="1435"/>
      <c r="M68" s="21" t="str">
        <f t="shared" si="0"/>
        <v/>
      </c>
      <c r="N68" s="374" t="str">
        <f t="shared" si="1"/>
        <v/>
      </c>
      <c r="O68" s="709"/>
      <c r="P68" s="709"/>
      <c r="Q68" s="709"/>
    </row>
    <row r="69" spans="1:17" s="692" customFormat="1" ht="18.95" customHeight="1" x14ac:dyDescent="0.25">
      <c r="A69" s="1262"/>
      <c r="B69" s="1298" t="s">
        <v>240</v>
      </c>
      <c r="C69" s="792" t="s">
        <v>276</v>
      </c>
      <c r="D69" s="855" t="s">
        <v>277</v>
      </c>
      <c r="E69" s="880" t="str">
        <f>'P3 Agric'!$C$34</f>
        <v>-/-</v>
      </c>
      <c r="F69" s="770" t="str">
        <f>'P3 Agric'!$D$34</f>
        <v>t cane / ha</v>
      </c>
      <c r="G69" s="790" t="str">
        <f>'P3 Agric'!$E$34</f>
        <v>NON COMPLIANT</v>
      </c>
      <c r="H69" s="903" t="str">
        <f>'P3 Agric'!$C$21</f>
        <v>-/-</v>
      </c>
      <c r="I69" s="928" t="s">
        <v>278</v>
      </c>
      <c r="J69" s="51"/>
      <c r="K69" s="939" t="str">
        <f>'P3 Agric'!A1</f>
        <v>Principle 3.</v>
      </c>
      <c r="L69" s="937"/>
      <c r="M69" s="21" t="str">
        <f t="shared" si="0"/>
        <v/>
      </c>
      <c r="N69" s="374" t="str">
        <f t="shared" si="1"/>
        <v/>
      </c>
      <c r="O69" s="709"/>
      <c r="P69" s="709"/>
      <c r="Q69" s="709"/>
    </row>
    <row r="70" spans="1:17" s="692" customFormat="1" ht="18.95" customHeight="1" x14ac:dyDescent="0.25">
      <c r="A70" s="1262"/>
      <c r="B70" s="1298" t="s">
        <v>240</v>
      </c>
      <c r="C70" s="792" t="s">
        <v>279</v>
      </c>
      <c r="D70" s="855" t="s">
        <v>280</v>
      </c>
      <c r="E70" s="1002" t="e">
        <f>'P3 Agric'!$C$45</f>
        <v>#DIV/0!</v>
      </c>
      <c r="F70" s="770" t="str">
        <f>'P3 Agric'!$D$45</f>
        <v>%</v>
      </c>
      <c r="G70" s="790" t="str">
        <f>'P3 Agric'!$E$45</f>
        <v/>
      </c>
      <c r="H70" s="903" t="str">
        <f>'P3 Agric'!$C$37</f>
        <v>&gt; 10</v>
      </c>
      <c r="I70" s="51"/>
      <c r="J70" s="51"/>
      <c r="K70" s="882"/>
      <c r="L70" s="881"/>
      <c r="M70" s="21" t="str">
        <f t="shared" si="0"/>
        <v/>
      </c>
      <c r="N70" s="374" t="str">
        <f t="shared" si="1"/>
        <v/>
      </c>
      <c r="O70" s="709"/>
      <c r="P70" s="709"/>
      <c r="Q70" s="709"/>
    </row>
    <row r="71" spans="1:17" s="692" customFormat="1" ht="18.95" customHeight="1" x14ac:dyDescent="0.25">
      <c r="A71" s="1262"/>
      <c r="B71" s="1298" t="s">
        <v>240</v>
      </c>
      <c r="C71" s="792" t="s">
        <v>281</v>
      </c>
      <c r="D71" s="855" t="s">
        <v>282</v>
      </c>
      <c r="E71" s="875">
        <f>'P3 Agric'!$C$57</f>
        <v>0</v>
      </c>
      <c r="F71" s="770" t="str">
        <f>'P3 Agric'!$D$57</f>
        <v>kg / t cane</v>
      </c>
      <c r="G71" s="790" t="str">
        <f>'P3 Agric'!$E$57</f>
        <v/>
      </c>
      <c r="H71" s="903" t="str">
        <f>'P3 Agric'!$C$48</f>
        <v>&gt; 120</v>
      </c>
      <c r="I71" s="51"/>
      <c r="J71" s="51"/>
      <c r="K71" s="882"/>
      <c r="L71" s="881"/>
      <c r="M71" s="21" t="str">
        <f t="shared" si="0"/>
        <v/>
      </c>
      <c r="N71" s="374" t="str">
        <f t="shared" si="1"/>
        <v/>
      </c>
      <c r="O71" s="709"/>
      <c r="P71" s="709"/>
      <c r="Q71" s="709"/>
    </row>
    <row r="72" spans="1:17" s="692" customFormat="1" ht="45.6" customHeight="1" x14ac:dyDescent="0.25">
      <c r="A72" s="1262"/>
      <c r="B72" s="1299" t="s">
        <v>240</v>
      </c>
      <c r="C72" s="912" t="s">
        <v>283</v>
      </c>
      <c r="D72" s="917" t="s">
        <v>284</v>
      </c>
      <c r="E72" s="913" t="str">
        <f>'P3 Agric'!$C$69</f>
        <v>0/0/0</v>
      </c>
      <c r="F72" s="918"/>
      <c r="G72" s="1012" t="str">
        <f>'P3 Agric'!$E$69</f>
        <v/>
      </c>
      <c r="H72" s="915" t="str">
        <f>'P3 Agric'!$C$60</f>
        <v>&lt;16 for machine harvesting
&lt;24 manual green harvesting
&lt;48 burnt cane harvesting</v>
      </c>
      <c r="I72" s="1019"/>
      <c r="J72" s="1020"/>
      <c r="K72" s="882"/>
      <c r="L72" s="881"/>
      <c r="M72" s="21" t="str">
        <f t="shared" si="0"/>
        <v/>
      </c>
      <c r="N72" s="374" t="str">
        <f t="shared" si="1"/>
        <v/>
      </c>
      <c r="O72" s="709"/>
      <c r="P72" s="709"/>
      <c r="Q72" s="709"/>
    </row>
    <row r="73" spans="1:17" s="692" customFormat="1" ht="31.5" customHeight="1" x14ac:dyDescent="0.25">
      <c r="A73" s="1262"/>
      <c r="B73" s="1298" t="s">
        <v>240</v>
      </c>
      <c r="C73" s="792" t="s">
        <v>285</v>
      </c>
      <c r="D73" s="855" t="s">
        <v>286</v>
      </c>
      <c r="E73" s="880" t="str">
        <f>'P3 Agric'!$C$74</f>
        <v>Yes</v>
      </c>
      <c r="F73" s="770"/>
      <c r="G73" s="945" t="str">
        <f>'P3 Agric'!$E$74</f>
        <v>COMPLIANT</v>
      </c>
      <c r="H73" s="1014" t="str">
        <f>'P3 Agric'!$C$72</f>
        <v>Yes</v>
      </c>
      <c r="I73" s="1013" t="s">
        <v>287</v>
      </c>
      <c r="J73" s="51"/>
      <c r="K73" s="882"/>
      <c r="L73" s="881"/>
      <c r="M73" s="21" t="str">
        <f t="shared" si="0"/>
        <v/>
      </c>
      <c r="N73" s="374" t="str">
        <f t="shared" si="1"/>
        <v/>
      </c>
      <c r="O73" s="709"/>
      <c r="P73" s="709"/>
      <c r="Q73" s="709"/>
    </row>
    <row r="74" spans="1:17" s="692" customFormat="1" ht="15.75" x14ac:dyDescent="0.3">
      <c r="A74" s="1262"/>
      <c r="B74" s="1298" t="s">
        <v>240</v>
      </c>
      <c r="C74" s="816" t="str">
        <f>'P3 Agric'!A220</f>
        <v>Company Results 3.2.2</v>
      </c>
      <c r="D74" s="888" t="str">
        <f>'P3 Agric'!B220</f>
        <v>Net GHG emissions per tonne of cane</v>
      </c>
      <c r="E74" s="875" t="e">
        <f>'P3 Agric'!$C$220</f>
        <v>#DIV/0!</v>
      </c>
      <c r="F74" s="770" t="str">
        <f>'P3 Agric'!$D$220</f>
        <v>kg CO2 eq / t cane</v>
      </c>
      <c r="G74" s="931" t="str">
        <f>'P3 Agric'!$E$220</f>
        <v/>
      </c>
      <c r="H74" s="931" t="str">
        <f>'P3 Agric'!$C$79</f>
        <v>Agric &lt; 40</v>
      </c>
      <c r="I74" s="51"/>
      <c r="J74" s="51"/>
      <c r="K74" s="882"/>
      <c r="L74" s="881"/>
      <c r="M74" s="21" t="str">
        <f t="shared" si="0"/>
        <v/>
      </c>
      <c r="N74" s="374" t="str">
        <f t="shared" si="1"/>
        <v/>
      </c>
      <c r="O74" s="709"/>
      <c r="P74" s="709"/>
      <c r="Q74" s="709"/>
    </row>
    <row r="75" spans="1:17" s="692" customFormat="1" ht="15.75" thickBot="1" x14ac:dyDescent="0.3">
      <c r="A75" s="1262"/>
      <c r="B75" s="1299" t="s">
        <v>240</v>
      </c>
      <c r="C75" s="919" t="str">
        <f>'P3 Agric'!A289</f>
        <v>Company Results 3.2.7</v>
      </c>
      <c r="D75" s="919" t="str">
        <f>'P3 Agric'!B289</f>
        <v>Total Net Primary Energy Usage per t cane</v>
      </c>
      <c r="E75" s="920" t="e">
        <f>'P3 Agric'!$C$289</f>
        <v>#DIV/0!</v>
      </c>
      <c r="F75" s="921" t="str">
        <f>'P3 Agric'!$D$289</f>
        <v>MJ / t cane</v>
      </c>
      <c r="G75" s="932" t="str">
        <f>'P3 Agric'!$E$289</f>
        <v/>
      </c>
      <c r="H75" s="932" t="str">
        <f>'P3 Agric'!$C$223</f>
        <v>&lt; 300</v>
      </c>
      <c r="I75" s="839"/>
      <c r="J75" s="839"/>
      <c r="K75" s="935"/>
      <c r="L75" s="936"/>
      <c r="M75" s="21" t="str">
        <f t="shared" si="0"/>
        <v/>
      </c>
      <c r="N75" s="374" t="str">
        <f t="shared" si="1"/>
        <v/>
      </c>
      <c r="O75" s="709"/>
      <c r="P75" s="709"/>
      <c r="Q75" s="709"/>
    </row>
    <row r="76" spans="1:17" s="692" customFormat="1" ht="18.75" x14ac:dyDescent="0.3">
      <c r="A76" s="1262"/>
      <c r="B76" s="1298" t="s">
        <v>236</v>
      </c>
      <c r="C76" s="792" t="s">
        <v>288</v>
      </c>
      <c r="D76" s="774" t="str">
        <f>'P4 Agric'!B7</f>
        <v>Map biodiversity, ecosystem services and risks across the mill’s supply base.</v>
      </c>
      <c r="E76" s="1021" t="str">
        <f>'P4 Agric'!$C$7</f>
        <v>Yes</v>
      </c>
      <c r="F76" s="792"/>
      <c r="G76" s="1112" t="str">
        <f>'P4 Agric'!$E$7</f>
        <v>COMPLIANT</v>
      </c>
      <c r="H76" s="1244" t="str">
        <f>'P4 Agric'!$C$3</f>
        <v>Yes</v>
      </c>
      <c r="I76" s="1243" t="s">
        <v>289</v>
      </c>
      <c r="J76" s="51"/>
      <c r="K76" s="940" t="str">
        <f>'P4 Agric'!A1</f>
        <v>Principle 4.</v>
      </c>
      <c r="L76" s="881"/>
      <c r="M76" s="21" t="str">
        <f t="shared" si="0"/>
        <v/>
      </c>
      <c r="N76" s="374" t="str">
        <f t="shared" si="1"/>
        <v/>
      </c>
      <c r="O76" s="709"/>
      <c r="P76" s="709"/>
      <c r="Q76" s="709"/>
    </row>
    <row r="77" spans="1:17" s="692" customFormat="1" ht="27" x14ac:dyDescent="0.3">
      <c r="A77" s="1262"/>
      <c r="B77" s="1298" t="s">
        <v>240</v>
      </c>
      <c r="C77" s="792" t="s">
        <v>290</v>
      </c>
      <c r="D77" s="774" t="str">
        <f>'P4 Agric'!B14</f>
        <v>Maintain and enhance biodiversity, ecosystem services and HCVs on and around farm areas</v>
      </c>
      <c r="E77" s="1021" t="str">
        <f>'P4 Agric'!$C$14</f>
        <v>Yes</v>
      </c>
      <c r="F77" s="792"/>
      <c r="G77" s="790" t="str">
        <f>'P4 Agric'!$E$14</f>
        <v>COMPLIANT</v>
      </c>
      <c r="H77" s="933" t="str">
        <f>'P4 Agric'!$C$10</f>
        <v>Yes</v>
      </c>
      <c r="I77" s="1013"/>
      <c r="J77" s="51"/>
      <c r="K77" s="940"/>
      <c r="L77" s="881"/>
      <c r="M77" s="21" t="str">
        <f t="shared" si="0"/>
        <v/>
      </c>
      <c r="N77" s="374" t="str">
        <f t="shared" si="1"/>
        <v>OOO</v>
      </c>
      <c r="O77" s="709"/>
      <c r="P77" s="709"/>
      <c r="Q77" s="709"/>
    </row>
    <row r="78" spans="1:17" s="692" customFormat="1" ht="40.5" x14ac:dyDescent="0.3">
      <c r="A78" s="1262"/>
      <c r="B78" s="1298" t="s">
        <v>236</v>
      </c>
      <c r="C78" s="792" t="s">
        <v>291</v>
      </c>
      <c r="D78" s="774" t="str">
        <f>'P4 Agric'!B21</f>
        <v>Percentage of areas of natural ecosystems defined internationally or nationally as legally protected converted to sugarcane on or after 1 January 2008</v>
      </c>
      <c r="E78" s="875">
        <f>'P4 Agric'!$C$21</f>
        <v>0</v>
      </c>
      <c r="F78" s="792"/>
      <c r="G78" s="790" t="str">
        <f>'P4 Agric'!$E$21</f>
        <v>COMPLIANT</v>
      </c>
      <c r="H78" s="933">
        <f>'P4 Agric'!$C$17</f>
        <v>0</v>
      </c>
      <c r="I78" s="1013"/>
      <c r="J78" s="51"/>
      <c r="K78" s="940"/>
      <c r="L78" s="881"/>
      <c r="M78" s="21" t="str">
        <f t="shared" si="0"/>
        <v/>
      </c>
      <c r="N78" s="374" t="str">
        <f t="shared" si="1"/>
        <v/>
      </c>
      <c r="O78" s="709"/>
      <c r="P78" s="709"/>
      <c r="Q78" s="709"/>
    </row>
    <row r="79" spans="1:17" s="692" customFormat="1" ht="27" x14ac:dyDescent="0.3">
      <c r="A79" s="1262"/>
      <c r="B79" s="1298" t="s">
        <v>236</v>
      </c>
      <c r="C79" s="792" t="s">
        <v>292</v>
      </c>
      <c r="D79" s="774" t="str">
        <f>'P4 Agric'!B29</f>
        <v>Across the whole cane supplying area future expansion is conducted in non-HCV areas.</v>
      </c>
      <c r="E79" s="875" t="str">
        <f>'P4 Agric'!C29</f>
        <v/>
      </c>
      <c r="F79" s="792"/>
      <c r="G79" s="790" t="str">
        <f>'P4 Agric'!E29</f>
        <v>NOT COMPLIANT</v>
      </c>
      <c r="H79" s="1245" t="str">
        <f>'P4 Agric'!C24</f>
        <v>Yes</v>
      </c>
      <c r="I79" s="1013"/>
      <c r="J79" s="51"/>
      <c r="K79" s="940"/>
      <c r="L79" s="881"/>
      <c r="M79" s="21" t="str">
        <f t="shared" si="0"/>
        <v>XXX</v>
      </c>
      <c r="N79" s="374" t="str">
        <f t="shared" si="1"/>
        <v/>
      </c>
      <c r="O79" s="709"/>
      <c r="P79" s="709"/>
      <c r="Q79" s="709"/>
    </row>
    <row r="80" spans="1:17" s="692" customFormat="1" ht="40.5" customHeight="1" x14ac:dyDescent="0.25">
      <c r="A80" s="1262"/>
      <c r="B80" s="1299" t="s">
        <v>236</v>
      </c>
      <c r="C80" s="912" t="s">
        <v>293</v>
      </c>
      <c r="D80" s="917" t="str">
        <f>'P4 Agric'!$B$40</f>
        <v xml:space="preserve">Percentage of greenfield expansion or new sugarcane project covered by ESIA </v>
      </c>
      <c r="E80" s="913" t="e">
        <f>'P4 Agric'!$C$40</f>
        <v>#DIV/0!</v>
      </c>
      <c r="F80" s="918"/>
      <c r="G80" s="914" t="e">
        <f>'P4 Agric'!$E$40</f>
        <v>#DIV/0!</v>
      </c>
      <c r="H80" s="915" t="str">
        <f>'P4 Agric'!$C$32</f>
        <v>Yes</v>
      </c>
      <c r="I80" s="839"/>
      <c r="J80" s="839"/>
      <c r="K80" s="882"/>
      <c r="L80" s="881"/>
      <c r="M80" s="21" t="e">
        <f t="shared" si="0"/>
        <v>#DIV/0!</v>
      </c>
      <c r="N80" s="374" t="str">
        <f t="shared" si="1"/>
        <v/>
      </c>
      <c r="O80" s="709"/>
      <c r="P80" s="709"/>
      <c r="Q80" s="709"/>
    </row>
    <row r="81" spans="1:17" s="692" customFormat="1" x14ac:dyDescent="0.25">
      <c r="A81" s="1262"/>
      <c r="B81" s="1298" t="s">
        <v>236</v>
      </c>
      <c r="C81" s="792" t="s">
        <v>294</v>
      </c>
      <c r="D81" s="855" t="str">
        <f>'P4 Agric'!$B$45</f>
        <v>Mapping of soils and/or soil management units of the farm</v>
      </c>
      <c r="E81" s="880" t="str">
        <f>'P4 Agric'!$C$45</f>
        <v>Yes</v>
      </c>
      <c r="F81" s="770"/>
      <c r="G81" s="790" t="str">
        <f>'P4 Agric'!$E$45</f>
        <v>COMPLIANT</v>
      </c>
      <c r="H81" s="903" t="str">
        <f>'P4 Agric'!$C$43</f>
        <v>Yes</v>
      </c>
      <c r="I81" s="928" t="s">
        <v>295</v>
      </c>
      <c r="J81" s="51"/>
      <c r="K81" s="882"/>
      <c r="L81" s="881"/>
      <c r="M81" s="21" t="str">
        <f t="shared" si="0"/>
        <v/>
      </c>
      <c r="N81" s="374" t="str">
        <f t="shared" si="1"/>
        <v/>
      </c>
      <c r="O81" s="709"/>
      <c r="P81" s="709"/>
      <c r="Q81" s="709"/>
    </row>
    <row r="82" spans="1:17" s="692" customFormat="1" ht="27" x14ac:dyDescent="0.25">
      <c r="A82" s="1262"/>
      <c r="B82" s="1298" t="s">
        <v>240</v>
      </c>
      <c r="C82" s="792" t="s">
        <v>296</v>
      </c>
      <c r="D82" s="855" t="str">
        <f>'P4 Agric'!$B$54</f>
        <v>Health of the soil improved and maintained, and determined by PH, acidity, and salt load to be measured and recorded</v>
      </c>
      <c r="E82" s="880" t="str">
        <f>'P4 Agric'!$C$54</f>
        <v>Yes</v>
      </c>
      <c r="F82" s="770"/>
      <c r="G82" s="790" t="str">
        <f>'P4 Agric'!$E$54</f>
        <v>COMPLIANT</v>
      </c>
      <c r="H82" s="903" t="str">
        <f>'P4 Agric'!$C$48</f>
        <v>Yes</v>
      </c>
      <c r="I82" s="51"/>
      <c r="J82" s="51"/>
      <c r="K82" s="882"/>
      <c r="L82" s="881"/>
      <c r="M82" s="21" t="str">
        <f t="shared" si="0"/>
        <v/>
      </c>
      <c r="N82" s="374" t="str">
        <f t="shared" si="1"/>
        <v/>
      </c>
      <c r="O82" s="709"/>
      <c r="P82" s="709"/>
      <c r="Q82" s="709"/>
    </row>
    <row r="83" spans="1:17" s="692" customFormat="1" ht="27" x14ac:dyDescent="0.25">
      <c r="A83" s="1262"/>
      <c r="B83" s="1298" t="s">
        <v>240</v>
      </c>
      <c r="C83" s="792" t="s">
        <v>297</v>
      </c>
      <c r="D83" s="855" t="str">
        <f>'P4 Agric'!$B$60</f>
        <v xml:space="preserve"> Health of the soil improved and maintained through setting objectives and implementing appropriate BMPs</v>
      </c>
      <c r="E83" s="880">
        <f>'P4 Agric'!$C$60</f>
        <v>0</v>
      </c>
      <c r="F83" s="770"/>
      <c r="G83" s="790" t="str">
        <f>'P4 Agric'!$E$60</f>
        <v>NOT COMPLIANT</v>
      </c>
      <c r="H83" s="903" t="str">
        <f>'P4 Agric'!$C$57</f>
        <v>Yes</v>
      </c>
      <c r="I83" s="51"/>
      <c r="J83" s="51"/>
      <c r="K83" s="882"/>
      <c r="L83" s="881"/>
      <c r="M83" s="21" t="str">
        <f t="shared" si="0"/>
        <v/>
      </c>
      <c r="N83" s="374" t="str">
        <f t="shared" si="1"/>
        <v/>
      </c>
      <c r="O83" s="709"/>
      <c r="P83" s="709"/>
      <c r="Q83" s="709"/>
    </row>
    <row r="84" spans="1:17" s="692" customFormat="1" ht="27" x14ac:dyDescent="0.25">
      <c r="A84" s="1262"/>
      <c r="B84" s="1298" t="s">
        <v>236</v>
      </c>
      <c r="C84" s="792" t="s">
        <v>298</v>
      </c>
      <c r="D84" s="855" t="str">
        <f>'P4 Agric'!$B$79</f>
        <v>Ratio of fertiliser N P K applied to fertilizer N P K  recommended by soil analysis</v>
      </c>
      <c r="E84" s="1303" t="str">
        <f>'P4 Agric'!$C$79</f>
        <v>0.00/0.00/0.00</v>
      </c>
      <c r="F84" s="770"/>
      <c r="G84" s="790" t="str">
        <f>'P4 Agric'!$E$79</f>
        <v>COMPLIANT</v>
      </c>
      <c r="H84" s="903" t="str">
        <f>'P4 Agric'!$C$63</f>
        <v>&lt;1.1</v>
      </c>
      <c r="I84" s="51"/>
      <c r="J84" s="51"/>
      <c r="K84" s="882"/>
      <c r="L84" s="881"/>
      <c r="M84" s="21" t="str">
        <f t="shared" si="0"/>
        <v/>
      </c>
      <c r="N84" s="374" t="str">
        <f t="shared" si="1"/>
        <v>OOO</v>
      </c>
      <c r="O84" s="709"/>
      <c r="P84" s="709"/>
      <c r="Q84" s="709"/>
    </row>
    <row r="85" spans="1:17" ht="37.5" customHeight="1" x14ac:dyDescent="0.25">
      <c r="A85" s="1262"/>
      <c r="B85" s="1298" t="s">
        <v>240</v>
      </c>
      <c r="C85" s="792" t="s">
        <v>299</v>
      </c>
      <c r="D85" s="855" t="str">
        <f>'P4 Agric'!$B$86</f>
        <v>Practices minimise and control erosion and degradation of soils</v>
      </c>
      <c r="E85" s="875" t="str">
        <f>'P4 Agric'!$C$86</f>
        <v>Yes</v>
      </c>
      <c r="F85" s="770"/>
      <c r="G85" s="790" t="str">
        <f>'P4 Agric'!$E$86</f>
        <v>COMPLIANT</v>
      </c>
      <c r="H85" s="903" t="str">
        <f>'P4 Agric'!$C$82</f>
        <v>Yes</v>
      </c>
      <c r="I85" s="51"/>
      <c r="J85" s="51"/>
      <c r="K85" s="882"/>
      <c r="L85" s="881"/>
      <c r="M85" s="21" t="str">
        <f t="shared" si="0"/>
        <v/>
      </c>
      <c r="N85" s="374" t="str">
        <f t="shared" si="1"/>
        <v/>
      </c>
      <c r="Q85" s="709"/>
    </row>
    <row r="86" spans="1:17" s="692" customFormat="1" x14ac:dyDescent="0.25">
      <c r="A86" s="1262"/>
      <c r="B86" s="1299" t="s">
        <v>240</v>
      </c>
      <c r="C86" s="912" t="s">
        <v>300</v>
      </c>
      <c r="D86" s="917" t="str">
        <f>'P4 Agric'!$B$94</f>
        <v>Burning of sugarcane tops and leaves after harvest is prevented</v>
      </c>
      <c r="E86" s="913">
        <f>'P4 Agric'!$C$94</f>
        <v>0</v>
      </c>
      <c r="F86" s="918"/>
      <c r="G86" s="1029" t="str">
        <f>'P4 Agric'!$E$94</f>
        <v>COMPLIANT</v>
      </c>
      <c r="H86" s="915">
        <f>'P4 Agric'!$C$89</f>
        <v>0</v>
      </c>
      <c r="I86" s="51"/>
      <c r="J86" s="938"/>
      <c r="K86" s="882"/>
      <c r="L86" s="881"/>
      <c r="M86" s="21" t="str">
        <f t="shared" si="0"/>
        <v/>
      </c>
      <c r="N86" s="374" t="str">
        <f t="shared" si="1"/>
        <v/>
      </c>
      <c r="O86" s="709"/>
      <c r="P86" s="709"/>
      <c r="Q86" s="709"/>
    </row>
    <row r="87" spans="1:17" s="692" customFormat="1" ht="40.5" x14ac:dyDescent="0.25">
      <c r="A87" s="1262"/>
      <c r="B87" s="1298" t="s">
        <v>236</v>
      </c>
      <c r="C87" s="792" t="s">
        <v>301</v>
      </c>
      <c r="D87" s="855" t="str">
        <f>'P4 Agric'!B103</f>
        <v>Identify main water resources, the basin, sub-basin or micro-basin where the water resource is provided and determine an action plan to contribute to its sustainability and setting objectives for water stewardship</v>
      </c>
      <c r="E87" s="875" t="str">
        <f>'P4 Agric'!C103</f>
        <v>Yes</v>
      </c>
      <c r="F87" s="770"/>
      <c r="G87" s="790" t="str">
        <f>'P4 Agric'!E103</f>
        <v>COMPLIANT</v>
      </c>
      <c r="H87" s="903" t="str">
        <f>'P4 Agric'!C97</f>
        <v>Yes</v>
      </c>
      <c r="I87" s="928" t="s">
        <v>302</v>
      </c>
      <c r="J87" s="51"/>
      <c r="K87" s="882"/>
      <c r="L87" s="881"/>
      <c r="M87" s="21" t="str">
        <f t="shared" si="0"/>
        <v/>
      </c>
      <c r="N87" s="374" t="str">
        <f t="shared" si="1"/>
        <v/>
      </c>
      <c r="O87" s="709"/>
      <c r="P87" s="709"/>
      <c r="Q87" s="709"/>
    </row>
    <row r="88" spans="1:17" s="692" customFormat="1" x14ac:dyDescent="0.25">
      <c r="A88" s="1262"/>
      <c r="B88" s="1298" t="s">
        <v>240</v>
      </c>
      <c r="C88" s="792" t="s">
        <v>303</v>
      </c>
      <c r="D88" s="855" t="str">
        <f>'P4 Agric'!B114</f>
        <v>Mapping of land/water titles &amp; claims is conducted</v>
      </c>
      <c r="E88" s="875" t="str">
        <f>'P4 Agric'!C114</f>
        <v>Yes</v>
      </c>
      <c r="F88" s="770"/>
      <c r="G88" s="790" t="str">
        <f>'P4 Agric'!E114</f>
        <v>COMPLIANT</v>
      </c>
      <c r="H88" s="903" t="str">
        <f>'P4 Agric'!C106</f>
        <v>Yes</v>
      </c>
      <c r="I88" s="51"/>
      <c r="J88" s="51"/>
      <c r="K88" s="882"/>
      <c r="L88" s="881"/>
      <c r="M88" s="21" t="str">
        <f t="shared" si="0"/>
        <v/>
      </c>
      <c r="N88" s="374" t="str">
        <f t="shared" si="1"/>
        <v/>
      </c>
      <c r="O88" s="709"/>
      <c r="P88" s="709"/>
      <c r="Q88" s="709"/>
    </row>
    <row r="89" spans="1:17" s="692" customFormat="1" x14ac:dyDescent="0.25">
      <c r="A89" s="1262"/>
      <c r="B89" s="1298" t="s">
        <v>240</v>
      </c>
      <c r="C89" s="792" t="s">
        <v>304</v>
      </c>
      <c r="D89" s="855" t="str">
        <f>'P4 Agric'!$B$119</f>
        <v>Engaging in collaborative action to promote sustainable water use</v>
      </c>
      <c r="E89" s="880" t="str">
        <f>'P4 Agric'!$C$119</f>
        <v>Yes</v>
      </c>
      <c r="F89" s="770"/>
      <c r="G89" s="790" t="str">
        <f>'P4 Agric'!$E$119</f>
        <v>COMPLIANT</v>
      </c>
      <c r="H89" s="903" t="str">
        <f>'P4 Agric'!$C$117</f>
        <v>Yes</v>
      </c>
      <c r="I89" s="51"/>
      <c r="J89" s="51"/>
      <c r="K89" s="882"/>
      <c r="L89" s="881"/>
      <c r="M89" s="21" t="str">
        <f t="shared" si="0"/>
        <v/>
      </c>
      <c r="N89" s="374" t="str">
        <f t="shared" si="1"/>
        <v/>
      </c>
      <c r="O89" s="709"/>
      <c r="P89" s="709"/>
      <c r="Q89" s="709"/>
    </row>
    <row r="90" spans="1:17" s="692" customFormat="1" ht="27" customHeight="1" x14ac:dyDescent="0.25">
      <c r="A90" s="1262"/>
      <c r="B90" s="1299" t="s">
        <v>240</v>
      </c>
      <c r="C90" s="912" t="s">
        <v>305</v>
      </c>
      <c r="D90" s="917" t="str">
        <f>'P4 Agric'!$B$133</f>
        <v>Irrigation Water Productivity (Wpa/ Wpo)</v>
      </c>
      <c r="E90" s="913" t="e">
        <f>'P4 Agric'!$C$133</f>
        <v>#VALUE!</v>
      </c>
      <c r="F90" s="918"/>
      <c r="G90" s="1029" t="e">
        <f>'P4 Agric'!$E$133</f>
        <v>#VALUE!</v>
      </c>
      <c r="H90" s="915" t="str">
        <f>'P4 Agric'!$C$122</f>
        <v xml:space="preserve">Actual water productivity &gt;= Benchmark water productivity </v>
      </c>
      <c r="I90" s="839"/>
      <c r="J90" s="839"/>
      <c r="K90" s="882"/>
      <c r="L90" s="881"/>
      <c r="M90" s="21" t="e">
        <f t="shared" si="0"/>
        <v>#VALUE!</v>
      </c>
      <c r="N90" s="374" t="str">
        <f t="shared" si="1"/>
        <v/>
      </c>
      <c r="O90" s="709"/>
      <c r="P90" s="709"/>
      <c r="Q90" s="709"/>
    </row>
    <row r="91" spans="1:17" s="692" customFormat="1" ht="27" x14ac:dyDescent="0.25">
      <c r="A91" s="1262"/>
      <c r="B91" s="1298" t="s">
        <v>236</v>
      </c>
      <c r="C91" s="792" t="s">
        <v>306</v>
      </c>
      <c r="D91" s="855" t="str">
        <f>'P4 Agric'!B143</f>
        <v>Identification and monitoring of current, historical and potential pests and diseases</v>
      </c>
      <c r="E91" s="875" t="e">
        <f>'P4 Agric'!C143</f>
        <v>#DIV/0!</v>
      </c>
      <c r="F91" s="770"/>
      <c r="G91" s="1024" t="e">
        <f>'P4 Agric'!E143</f>
        <v>#DIV/0!</v>
      </c>
      <c r="H91" s="903" t="str">
        <f>'P4 Agric'!C136</f>
        <v>&gt;80</v>
      </c>
      <c r="I91" s="928" t="s">
        <v>307</v>
      </c>
      <c r="J91" s="51"/>
      <c r="K91" s="882"/>
      <c r="L91" s="881"/>
      <c r="M91" s="21" t="e">
        <f t="shared" si="0"/>
        <v>#DIV/0!</v>
      </c>
      <c r="N91" s="374" t="str">
        <f t="shared" si="1"/>
        <v/>
      </c>
      <c r="O91" s="709"/>
      <c r="P91" s="709"/>
      <c r="Q91" s="709"/>
    </row>
    <row r="92" spans="1:17" s="692" customFormat="1" x14ac:dyDescent="0.25">
      <c r="A92" s="1262"/>
      <c r="B92" s="1298" t="s">
        <v>240</v>
      </c>
      <c r="C92" s="792" t="s">
        <v>308</v>
      </c>
      <c r="D92" s="855" t="str">
        <f>'P4 Agric'!$B$153</f>
        <v>Agro-ecological pest and disease management practices implemented</v>
      </c>
      <c r="E92" s="875" t="e">
        <f>'P4 Agric'!$C$153</f>
        <v>#DIV/0!</v>
      </c>
      <c r="F92" s="770"/>
      <c r="G92" s="1024" t="e">
        <f>'P4 Agric'!$E$153</f>
        <v>#DIV/0!</v>
      </c>
      <c r="H92" s="1030" t="str">
        <f>'P4 Agric'!$C$146</f>
        <v>&gt;80</v>
      </c>
      <c r="I92" s="51"/>
      <c r="J92" s="51"/>
      <c r="K92" s="882"/>
      <c r="L92" s="881"/>
      <c r="M92" s="21" t="e">
        <f t="shared" si="0"/>
        <v>#DIV/0!</v>
      </c>
      <c r="N92" s="374" t="str">
        <f t="shared" si="1"/>
        <v/>
      </c>
      <c r="O92" s="709"/>
      <c r="P92" s="709"/>
      <c r="Q92" s="709"/>
    </row>
    <row r="93" spans="1:17" s="692" customFormat="1" x14ac:dyDescent="0.25">
      <c r="A93" s="1262"/>
      <c r="B93" s="1298" t="s">
        <v>240</v>
      </c>
      <c r="C93" s="792" t="s">
        <v>309</v>
      </c>
      <c r="D93" s="855" t="str">
        <f>'P4 Agric'!$B$163</f>
        <v>Integrated Weed Management plan</v>
      </c>
      <c r="E93" s="875" t="e">
        <f>'P4 Agric'!$C$163</f>
        <v>#DIV/0!</v>
      </c>
      <c r="F93" s="770"/>
      <c r="G93" s="1024" t="e">
        <f>'P4 Agric'!$E$163</f>
        <v>#DIV/0!</v>
      </c>
      <c r="H93" s="903" t="str">
        <f>'P4 Agric'!$C$156</f>
        <v>&gt;80</v>
      </c>
      <c r="I93" s="51"/>
      <c r="J93" s="51"/>
      <c r="K93" s="882"/>
      <c r="L93" s="881"/>
      <c r="M93" s="21" t="e">
        <f t="shared" si="0"/>
        <v>#DIV/0!</v>
      </c>
      <c r="N93" s="374" t="str">
        <f t="shared" si="1"/>
        <v/>
      </c>
      <c r="O93" s="709"/>
      <c r="P93" s="709"/>
      <c r="Q93" s="709"/>
    </row>
    <row r="94" spans="1:17" s="692" customFormat="1" ht="33.950000000000003" customHeight="1" x14ac:dyDescent="0.25">
      <c r="A94" s="1262"/>
      <c r="B94" s="1298" t="s">
        <v>236</v>
      </c>
      <c r="C94" s="792" t="s">
        <v>310</v>
      </c>
      <c r="D94" s="855" t="str">
        <f>'P4 Agric'!$B$173</f>
        <v>Agro-chemicals applied per hectare per year.</v>
      </c>
      <c r="E94" s="875">
        <f>'P4 Agric'!$C$173</f>
        <v>0</v>
      </c>
      <c r="F94" s="770" t="str">
        <f>'P4 Agric'!$D$173</f>
        <v>kg/ha</v>
      </c>
      <c r="G94" s="790" t="str">
        <f>'P4 Agric'!$E$173</f>
        <v>COMPLIANT</v>
      </c>
      <c r="H94" s="1030" t="str">
        <f>'P4 Agric'!$C$166</f>
        <v>&lt; 5</v>
      </c>
      <c r="I94" s="51"/>
      <c r="J94" s="51"/>
      <c r="K94" s="882"/>
      <c r="L94" s="881"/>
      <c r="M94" s="21" t="str">
        <f t="shared" si="0"/>
        <v/>
      </c>
      <c r="N94" s="374" t="str">
        <f t="shared" si="1"/>
        <v/>
      </c>
      <c r="O94" s="709"/>
      <c r="P94" s="709"/>
      <c r="Q94" s="709"/>
    </row>
    <row r="95" spans="1:17" s="692" customFormat="1" ht="18" customHeight="1" x14ac:dyDescent="0.25">
      <c r="A95" s="1262"/>
      <c r="B95" s="1298" t="s">
        <v>236</v>
      </c>
      <c r="C95" s="912" t="s">
        <v>311</v>
      </c>
      <c r="D95" s="917" t="str">
        <f>'P4 Agric'!$B$178</f>
        <v>Banned agro-chemicals applied per hectare per year</v>
      </c>
      <c r="E95" s="913">
        <f>'P4 Agric'!$C$178</f>
        <v>0</v>
      </c>
      <c r="F95" s="918"/>
      <c r="G95" s="914" t="str">
        <f>'P4 Agric'!$E$178</f>
        <v>COMPLIANT</v>
      </c>
      <c r="H95" s="915">
        <f>'P4 Agric'!$C$176</f>
        <v>0</v>
      </c>
      <c r="I95" s="839"/>
      <c r="J95" s="839"/>
      <c r="K95" s="882"/>
      <c r="L95" s="881"/>
      <c r="M95" s="21" t="str">
        <f t="shared" si="0"/>
        <v/>
      </c>
      <c r="N95" s="374" t="str">
        <f t="shared" si="1"/>
        <v/>
      </c>
      <c r="O95" s="709"/>
      <c r="P95" s="709"/>
      <c r="Q95" s="709"/>
    </row>
    <row r="96" spans="1:17" s="692" customFormat="1" ht="34.5" customHeight="1" x14ac:dyDescent="0.25">
      <c r="A96" s="1262"/>
      <c r="B96" s="1300" t="s">
        <v>236</v>
      </c>
      <c r="C96" s="792" t="s">
        <v>312</v>
      </c>
      <c r="D96" s="855" t="str">
        <f>'P4 Agric'!$B$186</f>
        <v>Management of storage facilities and safe handling of chemicals, fuel, lubricants and hazardous materials, with the objective of preventing negative impacts to biodiversity and ecosystems</v>
      </c>
      <c r="E96" s="1211">
        <f>'P4 Agric'!$C$186</f>
        <v>0</v>
      </c>
      <c r="F96" s="770" t="str">
        <f>'P4 Agric'!$D$186</f>
        <v>%</v>
      </c>
      <c r="G96" s="1024" t="str">
        <f>'P4 Agric'!$E$186</f>
        <v>NOT COMPLIANT</v>
      </c>
      <c r="H96" s="903">
        <f>'P4 Agric'!$C$181</f>
        <v>100</v>
      </c>
      <c r="I96" s="928" t="s">
        <v>313</v>
      </c>
      <c r="J96" s="51"/>
      <c r="K96" s="882"/>
      <c r="L96" s="881"/>
      <c r="M96" s="21" t="str">
        <f t="shared" si="0"/>
        <v>XXX</v>
      </c>
      <c r="N96" s="374" t="str">
        <f t="shared" si="1"/>
        <v/>
      </c>
      <c r="O96" s="709"/>
      <c r="P96" s="709"/>
      <c r="Q96" s="709"/>
    </row>
    <row r="97" spans="1:17" s="692" customFormat="1" ht="45" customHeight="1" thickBot="1" x14ac:dyDescent="0.3">
      <c r="A97" s="1263"/>
      <c r="B97" s="1299" t="s">
        <v>240</v>
      </c>
      <c r="C97" s="912" t="s">
        <v>314</v>
      </c>
      <c r="D97" s="917" t="str">
        <f>'P4 Agric'!$B$194</f>
        <v xml:space="preserve">Specific training for handling and correct use of farm chemicals, fuel, hazardous materials, and record keeping of training and use. </v>
      </c>
      <c r="E97" s="913">
        <f>'P4 Agric'!$C$194</f>
        <v>100</v>
      </c>
      <c r="F97" s="918"/>
      <c r="G97" s="1029" t="str">
        <f>'P4 Agric'!$E$194</f>
        <v>COMPLIANT</v>
      </c>
      <c r="H97" s="915">
        <f>'P4 Agric'!$C$189</f>
        <v>100</v>
      </c>
      <c r="I97" s="839"/>
      <c r="J97" s="938"/>
      <c r="K97" s="935"/>
      <c r="L97" s="936"/>
      <c r="M97" s="21" t="str">
        <f t="shared" si="0"/>
        <v/>
      </c>
      <c r="N97" s="374" t="str">
        <f t="shared" si="1"/>
        <v/>
      </c>
      <c r="O97" s="709"/>
      <c r="P97" s="709"/>
      <c r="Q97" s="709"/>
    </row>
    <row r="98" spans="1:17" s="692" customFormat="1" ht="23.1" customHeight="1" x14ac:dyDescent="0.3">
      <c r="A98" s="1264"/>
      <c r="B98" s="1296" t="s">
        <v>240</v>
      </c>
      <c r="C98" s="1160" t="str">
        <f>'P5 Agric'!A8</f>
        <v>Company Results 5.1.1</v>
      </c>
      <c r="D98" s="1160" t="str">
        <f>'P5 Agric'!B8</f>
        <v>Research and innovation plan in place</v>
      </c>
      <c r="E98" s="1135" t="str">
        <f>'P5 Agric'!C8</f>
        <v>Yes</v>
      </c>
      <c r="F98" s="1136"/>
      <c r="G98" s="1161" t="str">
        <f>'P5 Agric'!E8</f>
        <v>COMPLIANT</v>
      </c>
      <c r="H98" s="1162" t="str">
        <f>'P5 Agric'!C6</f>
        <v>Yes</v>
      </c>
      <c r="I98" s="1163" t="s">
        <v>315</v>
      </c>
      <c r="J98" s="923"/>
      <c r="K98" s="940" t="str">
        <f>'P5 Agric'!A1</f>
        <v>Principle 5.</v>
      </c>
      <c r="L98" s="881"/>
      <c r="M98" s="21" t="str">
        <f t="shared" si="0"/>
        <v/>
      </c>
      <c r="N98" s="374" t="str">
        <f t="shared" si="1"/>
        <v/>
      </c>
      <c r="O98" s="709"/>
      <c r="P98" s="709"/>
      <c r="Q98" s="709"/>
    </row>
    <row r="99" spans="1:17" s="692" customFormat="1" ht="20.100000000000001" customHeight="1" x14ac:dyDescent="0.3">
      <c r="A99" s="1264"/>
      <c r="B99" s="1298" t="s">
        <v>240</v>
      </c>
      <c r="C99" s="791" t="str">
        <f>'P5 Agric'!A26</f>
        <v>Company Results 5.1.2</v>
      </c>
      <c r="D99" s="791" t="str">
        <f>'P5 Agric'!B26</f>
        <v xml:space="preserve"> Value added per tonne cane  </v>
      </c>
      <c r="E99" s="1167" t="e">
        <f>'P5 Agric'!C26</f>
        <v>#DIV/0!</v>
      </c>
      <c r="F99" s="791" t="str">
        <f>'P5 Agric'!D26</f>
        <v>US $ / t cane</v>
      </c>
      <c r="G99" s="794" t="e">
        <f>'P5 Agric'!E26</f>
        <v>#DIV/0!</v>
      </c>
      <c r="H99" s="1168" t="str">
        <f>'P5 Agric'!C11</f>
        <v>&gt; 10</v>
      </c>
      <c r="I99" s="1164"/>
      <c r="J99" s="483"/>
      <c r="K99" s="940"/>
      <c r="L99" s="881"/>
      <c r="M99" s="21" t="e">
        <f t="shared" si="0"/>
        <v>#DIV/0!</v>
      </c>
      <c r="N99" s="374" t="str">
        <f t="shared" si="1"/>
        <v/>
      </c>
      <c r="O99" s="709"/>
      <c r="P99" s="709"/>
      <c r="Q99" s="709"/>
    </row>
    <row r="100" spans="1:17" s="692" customFormat="1" ht="27" customHeight="1" x14ac:dyDescent="0.3">
      <c r="A100" s="1264"/>
      <c r="B100" s="1298" t="s">
        <v>240</v>
      </c>
      <c r="C100" s="791" t="str">
        <f>'P5 Agric'!A34</f>
        <v>Company Results 5.1.3</v>
      </c>
      <c r="D100" s="791" t="str">
        <f>'P5 Agric'!B34</f>
        <v xml:space="preserve">Environmental and social impact Management Plans updated biannually </v>
      </c>
      <c r="E100" s="1186">
        <f>'P5 Agric'!C34</f>
        <v>0</v>
      </c>
      <c r="F100" s="791"/>
      <c r="G100" s="794" t="str">
        <f>'P5 Agric'!E34</f>
        <v>NOT COMPLIANT</v>
      </c>
      <c r="H100" s="1168" t="str">
        <f>'P5 Agric'!C29</f>
        <v>&gt;=6 months</v>
      </c>
      <c r="I100" s="1164"/>
      <c r="J100" s="483"/>
      <c r="K100" s="940"/>
      <c r="L100" s="881"/>
      <c r="M100" s="21" t="str">
        <f t="shared" si="0"/>
        <v/>
      </c>
      <c r="N100" s="374" t="str">
        <f t="shared" si="1"/>
        <v/>
      </c>
      <c r="O100" s="709"/>
      <c r="P100" s="709"/>
      <c r="Q100" s="709"/>
    </row>
    <row r="101" spans="1:17" s="692" customFormat="1" ht="27" x14ac:dyDescent="0.3">
      <c r="A101" s="1264"/>
      <c r="B101" s="1299" t="s">
        <v>240</v>
      </c>
      <c r="C101" s="791" t="str">
        <f>'P5 Agric'!A42</f>
        <v>Company Results 5.1.4</v>
      </c>
      <c r="D101" s="791" t="str">
        <f>'P5 Agric'!B42</f>
        <v xml:space="preserve"> Findings of business context analysis continuously addressed in a time-bound manner</v>
      </c>
      <c r="E101" s="1225" t="str">
        <f>'P5 Agric'!C42</f>
        <v>Yes</v>
      </c>
      <c r="F101" s="1138"/>
      <c r="G101" s="794" t="str">
        <f>'P5 Agric'!E42</f>
        <v>COMPLIANT</v>
      </c>
      <c r="H101" s="1168" t="str">
        <f>'P5 Agric'!C37</f>
        <v>Yes</v>
      </c>
      <c r="I101" s="1157"/>
      <c r="J101" s="958"/>
      <c r="K101" s="940"/>
      <c r="L101" s="881"/>
      <c r="M101" s="21" t="str">
        <f t="shared" si="0"/>
        <v/>
      </c>
      <c r="N101" s="374" t="str">
        <f t="shared" si="1"/>
        <v/>
      </c>
      <c r="O101" s="709"/>
      <c r="P101" s="709"/>
      <c r="Q101" s="709"/>
    </row>
    <row r="102" spans="1:17" s="692" customFormat="1" x14ac:dyDescent="0.25">
      <c r="A102" s="1264"/>
      <c r="B102" s="1301" t="s">
        <v>240</v>
      </c>
      <c r="C102" s="1288" t="str">
        <f>'P5 Agric'!A47</f>
        <v>Company Results 5.2.3</v>
      </c>
      <c r="D102" s="1269" t="str">
        <f>'P5 Agric'!B47</f>
        <v>Non-production waste plan for safely recycled or disposal</v>
      </c>
      <c r="E102" s="1289">
        <f>'P5 Agric'!C47</f>
        <v>0</v>
      </c>
      <c r="F102" s="1290" t="str">
        <f>'P5 Agric'!D47</f>
        <v>%</v>
      </c>
      <c r="G102" s="1291" t="str">
        <f>'P5 Agric'!E47</f>
        <v>NOT COMPLIANT</v>
      </c>
      <c r="H102" s="1292" t="str">
        <f>'P5 Agric'!C45</f>
        <v>&gt;= 50</v>
      </c>
      <c r="I102" s="1293" t="s">
        <v>316</v>
      </c>
      <c r="J102" s="483"/>
      <c r="K102" s="882"/>
      <c r="L102" s="881"/>
      <c r="M102" s="21" t="str">
        <f t="shared" ref="M102:M164" si="2">IF(AND(B102= "Core", G102="NOT COMPLIANT"),"XXX","")</f>
        <v/>
      </c>
      <c r="N102" s="374" t="str">
        <f t="shared" si="1"/>
        <v/>
      </c>
      <c r="O102" s="709"/>
      <c r="P102" s="709"/>
      <c r="Q102" s="709"/>
    </row>
    <row r="103" spans="1:17" s="692" customFormat="1" ht="15.75" x14ac:dyDescent="0.3">
      <c r="A103" s="1264"/>
      <c r="B103" s="1300" t="s">
        <v>240</v>
      </c>
      <c r="C103" s="791" t="str">
        <f>'P5 Agric'!A56</f>
        <v>Company Results 5.3.1</v>
      </c>
      <c r="D103" s="791" t="str">
        <f>'P5 Agric'!B56</f>
        <v xml:space="preserve">Time spent by workers in vocational training sessions   </v>
      </c>
      <c r="E103" s="1192" t="str">
        <f>'P5 Agric'!C56</f>
        <v/>
      </c>
      <c r="F103" s="1138" t="str">
        <f>'P5 Agric'!D56</f>
        <v>hours / employee</v>
      </c>
      <c r="G103" s="794" t="str">
        <f>'P5 Agric'!E56</f>
        <v>COMPLIANT</v>
      </c>
      <c r="H103" s="1193" t="str">
        <f>'P5 Agric'!C50</f>
        <v>&gt;=16</v>
      </c>
      <c r="I103" s="1287" t="s">
        <v>317</v>
      </c>
      <c r="J103" s="1294"/>
      <c r="K103" s="14"/>
      <c r="L103" s="881"/>
      <c r="M103" s="21" t="str">
        <f t="shared" si="2"/>
        <v/>
      </c>
      <c r="N103" s="374" t="str">
        <f t="shared" si="1"/>
        <v/>
      </c>
      <c r="O103" s="709"/>
      <c r="P103" s="709"/>
      <c r="Q103" s="709"/>
    </row>
    <row r="104" spans="1:17" s="692" customFormat="1" ht="15.75" thickBot="1" x14ac:dyDescent="0.3">
      <c r="A104" s="1265"/>
      <c r="B104" s="1343" t="s">
        <v>240</v>
      </c>
      <c r="C104" s="1413" t="str">
        <f>'P5 Agric'!A74</f>
        <v>Company Results 5.4.3</v>
      </c>
      <c r="D104" s="1414" t="str">
        <f>'P5 Agric'!B74</f>
        <v>Gender inclusion in management and technical positions</v>
      </c>
      <c r="E104" s="1415" t="e">
        <f>'P5 Agric'!C74</f>
        <v>#DIV/0!</v>
      </c>
      <c r="F104" s="1416"/>
      <c r="G104" s="1417" t="e">
        <f>'P5 Agric'!E74</f>
        <v>#DIV/0!</v>
      </c>
      <c r="H104" s="1418">
        <f>'P5 Agric'!C68</f>
        <v>15</v>
      </c>
      <c r="I104" s="1326" t="s">
        <v>318</v>
      </c>
      <c r="J104" s="1203"/>
      <c r="K104" s="480"/>
      <c r="L104" s="481"/>
      <c r="M104" s="21" t="e">
        <f t="shared" si="2"/>
        <v>#DIV/0!</v>
      </c>
      <c r="N104" s="374" t="str">
        <f t="shared" si="1"/>
        <v/>
      </c>
      <c r="O104" s="709"/>
      <c r="P104" s="709"/>
      <c r="Q104" s="709"/>
    </row>
    <row r="105" spans="1:17" s="692" customFormat="1" ht="21" x14ac:dyDescent="0.3">
      <c r="A105" s="1266" t="s">
        <v>319</v>
      </c>
      <c r="B105" s="1299" t="s">
        <v>236</v>
      </c>
      <c r="C105" s="816" t="str">
        <f>'P1 Mill'!A5</f>
        <v xml:space="preserve">Company Results 1.1.1 </v>
      </c>
      <c r="D105" s="888" t="str">
        <f>'P1 Mill'!B5</f>
        <v>Sustainability policy in place</v>
      </c>
      <c r="E105" s="889" t="str">
        <f>'P1 Mill'!C5</f>
        <v>Yes</v>
      </c>
      <c r="F105" s="890"/>
      <c r="G105" s="822" t="str">
        <f>'P1 Mill'!E5</f>
        <v>COMPLIANT</v>
      </c>
      <c r="H105" s="949" t="str">
        <f>'P1 Mill'!C3</f>
        <v>Yes</v>
      </c>
      <c r="I105" s="1157" t="s">
        <v>237</v>
      </c>
      <c r="J105" s="1202"/>
      <c r="K105" s="985" t="str">
        <f>'P1 Mill'!A1</f>
        <v>Principle 1.</v>
      </c>
      <c r="L105" s="479"/>
      <c r="M105" s="21" t="str">
        <f t="shared" si="2"/>
        <v/>
      </c>
      <c r="N105" s="374" t="e">
        <f t="shared" si="1"/>
        <v>#DIV/0!</v>
      </c>
      <c r="O105" s="709"/>
      <c r="P105" s="709"/>
      <c r="Q105" s="709"/>
    </row>
    <row r="106" spans="1:17" s="692" customFormat="1" ht="18.75" x14ac:dyDescent="0.3">
      <c r="A106" s="1267"/>
      <c r="B106" s="1298" t="s">
        <v>236</v>
      </c>
      <c r="C106" s="1270" t="str">
        <f>'P1 Mill'!A10</f>
        <v>Company Results 1.2.1</v>
      </c>
      <c r="D106" s="965" t="str">
        <f>'P1 Mill'!B10</f>
        <v>Mapping of stakeholders is conducted</v>
      </c>
      <c r="E106" s="995" t="str">
        <f>'P1 Mill'!C10</f>
        <v>Yes</v>
      </c>
      <c r="F106" s="967"/>
      <c r="G106" s="1128" t="str">
        <f>'P1 Mill'!E10</f>
        <v>COMPLIANT</v>
      </c>
      <c r="H106" s="1129" t="str">
        <f>'P1 Mill'!C8</f>
        <v>Yes</v>
      </c>
      <c r="I106" s="928" t="s">
        <v>238</v>
      </c>
      <c r="J106" s="972"/>
      <c r="K106" s="983"/>
      <c r="L106" s="984"/>
      <c r="M106" s="21" t="str">
        <f t="shared" si="2"/>
        <v/>
      </c>
      <c r="N106" s="374" t="str">
        <f t="shared" si="1"/>
        <v/>
      </c>
      <c r="O106" s="709"/>
      <c r="P106" s="709"/>
      <c r="Q106" s="709"/>
    </row>
    <row r="107" spans="1:17" s="692" customFormat="1" x14ac:dyDescent="0.25">
      <c r="A107" s="1267"/>
      <c r="B107" s="1299" t="s">
        <v>236</v>
      </c>
      <c r="C107" s="1271" t="str">
        <f>'P1 Mill'!A15</f>
        <v>Company Results 1.2.2</v>
      </c>
      <c r="D107" s="759" t="str">
        <f>'P1 Mill'!B15</f>
        <v>Risk and Impact Assessment are conducted</v>
      </c>
      <c r="E107" s="1025" t="str">
        <f>'P1 Mill'!C15</f>
        <v>Yes</v>
      </c>
      <c r="F107" s="912"/>
      <c r="G107" s="1133" t="str">
        <f>'P1 Mill'!E15</f>
        <v>COMPLIANT</v>
      </c>
      <c r="H107" s="1134" t="str">
        <f>'P1 Mill'!C13</f>
        <v>Yes</v>
      </c>
      <c r="I107" s="1229"/>
      <c r="J107" s="958"/>
      <c r="K107" s="51"/>
      <c r="L107" s="479"/>
      <c r="M107" s="21" t="str">
        <f t="shared" si="2"/>
        <v/>
      </c>
      <c r="N107" s="374" t="str">
        <f t="shared" si="1"/>
        <v/>
      </c>
      <c r="O107" s="709"/>
      <c r="P107" s="709"/>
      <c r="Q107" s="709"/>
    </row>
    <row r="108" spans="1:17" s="692" customFormat="1" ht="45.95" customHeight="1" x14ac:dyDescent="0.25">
      <c r="A108" s="1267"/>
      <c r="B108" s="1298" t="s">
        <v>236</v>
      </c>
      <c r="C108" s="1270" t="str">
        <f>'P1 Mill'!A20</f>
        <v>Company Results 1.3.1</v>
      </c>
      <c r="D108" s="965" t="str">
        <f>'P1 Mill'!B20</f>
        <v>Management Plans are developed and Implemented</v>
      </c>
      <c r="E108" s="1135" t="str">
        <f>'P1 Mill'!C20</f>
        <v>Yes</v>
      </c>
      <c r="F108" s="1136"/>
      <c r="G108" s="1137" t="str">
        <f>'P1 Mill'!E20</f>
        <v>COMPLIANT</v>
      </c>
      <c r="H108" s="1137" t="str">
        <f>'P1 Mill'!C18</f>
        <v>Yes</v>
      </c>
      <c r="I108" s="1228" t="s">
        <v>239</v>
      </c>
      <c r="J108" s="955"/>
      <c r="K108" s="478"/>
      <c r="L108" s="479"/>
      <c r="M108" s="21" t="str">
        <f t="shared" si="2"/>
        <v/>
      </c>
      <c r="N108" s="374" t="str">
        <f t="shared" si="1"/>
        <v>OOO</v>
      </c>
      <c r="O108" s="709"/>
      <c r="P108" s="709"/>
      <c r="Q108" s="709"/>
    </row>
    <row r="109" spans="1:17" s="692" customFormat="1" x14ac:dyDescent="0.25">
      <c r="A109" s="1267"/>
      <c r="B109" s="1298" t="s">
        <v>240</v>
      </c>
      <c r="C109" s="816" t="str">
        <f>'P1 Mill'!A25</f>
        <v>Company Results 1.3.2</v>
      </c>
      <c r="D109" s="816" t="str">
        <f>'P1 Mill'!B25</f>
        <v>Standard Operating Procedures are in place</v>
      </c>
      <c r="E109" s="880" t="str">
        <f>'P1 Mill'!C25</f>
        <v>Yes</v>
      </c>
      <c r="F109" s="1138"/>
      <c r="G109" s="1139" t="str">
        <f>'P1 Mill'!E25</f>
        <v>COMPLIANT</v>
      </c>
      <c r="H109" s="1139" t="str">
        <f>'P1 Mill'!C23</f>
        <v>Yes</v>
      </c>
      <c r="I109" s="483"/>
      <c r="J109" s="479"/>
      <c r="K109" s="51"/>
      <c r="L109" s="479"/>
      <c r="M109" s="21" t="str">
        <f t="shared" si="2"/>
        <v/>
      </c>
      <c r="N109" s="374" t="str">
        <f t="shared" si="1"/>
        <v/>
      </c>
      <c r="O109" s="709"/>
      <c r="P109" s="709"/>
      <c r="Q109" s="709"/>
    </row>
    <row r="110" spans="1:17" s="692" customFormat="1" ht="27" x14ac:dyDescent="0.3">
      <c r="A110" s="1267"/>
      <c r="B110" s="1298" t="s">
        <v>236</v>
      </c>
      <c r="C110" s="816" t="str">
        <f>'P1 Mill'!A30</f>
        <v>Company Results 1.3.3</v>
      </c>
      <c r="D110" s="774" t="str">
        <f>'P1 Mill'!B30</f>
        <v>system in place to demostrate compliance with applicable laws, commitments, rights &amp; other requirments</v>
      </c>
      <c r="E110" s="891" t="str">
        <f>'P1 Mill'!C30</f>
        <v>Yes</v>
      </c>
      <c r="F110" s="1138"/>
      <c r="G110" s="1139" t="str">
        <f>'P1 Mill'!E30</f>
        <v>COMPLIANT</v>
      </c>
      <c r="H110" s="1139" t="str">
        <f>'P1 Mill'!C28</f>
        <v>Yes</v>
      </c>
      <c r="I110" s="483"/>
      <c r="J110" s="955"/>
      <c r="K110" s="51"/>
      <c r="L110" s="479"/>
      <c r="M110" s="21" t="str">
        <f t="shared" si="2"/>
        <v/>
      </c>
      <c r="N110" s="374" t="str">
        <f t="shared" si="1"/>
        <v/>
      </c>
      <c r="O110" s="709"/>
      <c r="P110" s="709"/>
      <c r="Q110" s="709"/>
    </row>
    <row r="111" spans="1:17" s="692" customFormat="1" ht="27" x14ac:dyDescent="0.25">
      <c r="A111" s="1267"/>
      <c r="B111" s="1298" t="s">
        <v>240</v>
      </c>
      <c r="C111" s="816" t="str">
        <f>'P1 Mill'!A35</f>
        <v>Company Results 1.3.4</v>
      </c>
      <c r="D111" s="774" t="str">
        <f>'P1 Mill'!B35</f>
        <v>Use of land and resources does not diminish rights of other users without their FPIC</v>
      </c>
      <c r="E111" s="1141" t="str">
        <f>'P1 Mill'!C35</f>
        <v>Yes</v>
      </c>
      <c r="F111" s="1138"/>
      <c r="G111" s="1139" t="str">
        <f>'P1 Mill'!E35</f>
        <v>COMPLIANT</v>
      </c>
      <c r="H111" s="1139" t="str">
        <f>'P1 Mill'!C33</f>
        <v>Yes</v>
      </c>
      <c r="I111" s="483"/>
      <c r="J111" s="955"/>
      <c r="K111" s="51"/>
      <c r="L111" s="479"/>
      <c r="M111" s="21" t="str">
        <f t="shared" si="2"/>
        <v/>
      </c>
      <c r="N111" s="374" t="str">
        <f t="shared" si="1"/>
        <v/>
      </c>
      <c r="O111" s="709"/>
      <c r="P111" s="709"/>
      <c r="Q111" s="709"/>
    </row>
    <row r="112" spans="1:17" s="692" customFormat="1" ht="15.75" x14ac:dyDescent="0.3">
      <c r="A112" s="1262"/>
      <c r="B112" s="1298" t="s">
        <v>236</v>
      </c>
      <c r="C112" s="816" t="str">
        <f>'P1 Mill'!A40</f>
        <v>Company Results 1.3.5</v>
      </c>
      <c r="D112" s="1142" t="str">
        <f>'P1 Mill'!B40</f>
        <v>Payment for cane deliveries are made according to agreed contract</v>
      </c>
      <c r="E112" s="891" t="str">
        <f>'P1 Mill'!C40</f>
        <v>Yes</v>
      </c>
      <c r="F112" s="1138"/>
      <c r="G112" s="1139" t="str">
        <f>'P1 Mill'!E40</f>
        <v>COMPLIANT</v>
      </c>
      <c r="H112" s="1139" t="str">
        <f>'P1 Mill'!C38</f>
        <v>Yes</v>
      </c>
      <c r="I112" s="483"/>
      <c r="J112" s="955"/>
      <c r="K112" s="51"/>
      <c r="L112" s="479"/>
      <c r="M112" s="21" t="str">
        <f t="shared" si="2"/>
        <v/>
      </c>
      <c r="N112" s="374" t="str">
        <f t="shared" si="1"/>
        <v/>
      </c>
      <c r="O112" s="709"/>
      <c r="P112" s="709"/>
      <c r="Q112" s="709"/>
    </row>
    <row r="113" spans="1:17" s="692" customFormat="1" ht="15.75" x14ac:dyDescent="0.3">
      <c r="A113" s="1262"/>
      <c r="B113" s="1297"/>
      <c r="C113" s="1271" t="str">
        <f>'P1 Mill'!A45</f>
        <v>Company Results 1.3.6</v>
      </c>
      <c r="D113" s="1230" t="str">
        <f>'P1 Mill'!B45</f>
        <v>Cane supply contracts contain sustainability requirements</v>
      </c>
      <c r="E113" s="1231" t="str">
        <f>'P1 Mill'!C45</f>
        <v>Yes</v>
      </c>
      <c r="F113" s="1278"/>
      <c r="G113" s="932" t="str">
        <f>'P1 Mill'!E45</f>
        <v>COMPLIANT</v>
      </c>
      <c r="H113" s="932" t="str">
        <f>'P1 Mill'!C43</f>
        <v>Yes</v>
      </c>
      <c r="I113" s="484"/>
      <c r="J113" s="958"/>
      <c r="K113" s="51"/>
      <c r="L113" s="479"/>
      <c r="M113" s="21" t="str">
        <f t="shared" si="2"/>
        <v/>
      </c>
      <c r="N113" s="374" t="str">
        <f t="shared" si="1"/>
        <v/>
      </c>
      <c r="O113" s="709"/>
      <c r="P113" s="709"/>
      <c r="Q113" s="709"/>
    </row>
    <row r="114" spans="1:17" s="692" customFormat="1" ht="27.6" customHeight="1" x14ac:dyDescent="0.3">
      <c r="A114" s="1262"/>
      <c r="B114" s="1298" t="s">
        <v>240</v>
      </c>
      <c r="C114" s="816" t="str">
        <f>'P1 Mill'!A52</f>
        <v>Company Results 1.4.1</v>
      </c>
      <c r="D114" s="888" t="str">
        <f>'P1 Mill'!B52</f>
        <v>Monitoring mechanisms are in place to ensure that corrective actions are implemented, and management review conducted</v>
      </c>
      <c r="E114" s="1355" t="str">
        <f>'P1 Mill'!C52</f>
        <v>Yes</v>
      </c>
      <c r="F114" s="1138"/>
      <c r="G114" s="1139" t="str">
        <f>'P1 Mill'!E52</f>
        <v>COMPLIANT</v>
      </c>
      <c r="H114" s="1356" t="str">
        <f>'P1 Mill'!C48</f>
        <v>Yes</v>
      </c>
      <c r="I114" s="483" t="s">
        <v>241</v>
      </c>
      <c r="J114" s="955"/>
      <c r="K114" s="51"/>
      <c r="L114" s="479"/>
      <c r="M114" s="21" t="str">
        <f t="shared" si="2"/>
        <v/>
      </c>
      <c r="N114" s="374" t="str">
        <f t="shared" si="1"/>
        <v/>
      </c>
      <c r="O114" s="709"/>
      <c r="P114" s="14"/>
      <c r="Q114" s="709"/>
    </row>
    <row r="115" spans="1:17" s="692" customFormat="1" ht="27" customHeight="1" x14ac:dyDescent="0.3">
      <c r="A115" s="1267"/>
      <c r="B115" s="1298" t="s">
        <v>236</v>
      </c>
      <c r="C115" s="816" t="str">
        <f>'P1 Mill'!A61</f>
        <v>Company Results 1.4.2</v>
      </c>
      <c r="D115" s="1142" t="str">
        <f>'P1 Mill'!B61</f>
        <v>Land &amp; water claims that are legitimately contested by other users</v>
      </c>
      <c r="E115" s="891" t="str">
        <f>'P1 Mill'!C61</f>
        <v>0/0</v>
      </c>
      <c r="F115" s="1142"/>
      <c r="G115" s="1139" t="str">
        <f>'P1 Mill'!E61</f>
        <v>COMPLIANT</v>
      </c>
      <c r="H115" s="1139">
        <f>'P1 Mill'!C59</f>
        <v>0</v>
      </c>
      <c r="I115" s="483"/>
      <c r="J115" s="955"/>
      <c r="K115" s="51"/>
      <c r="L115" s="479"/>
      <c r="M115" s="21" t="str">
        <f t="shared" si="2"/>
        <v/>
      </c>
      <c r="N115" s="374" t="e">
        <f t="shared" si="1"/>
        <v>#VALUE!</v>
      </c>
      <c r="O115" s="709"/>
      <c r="P115" s="709"/>
      <c r="Q115" s="709"/>
    </row>
    <row r="116" spans="1:17" ht="24" customHeight="1" x14ac:dyDescent="0.3">
      <c r="A116" s="1262"/>
      <c r="B116" s="1299" t="s">
        <v>240</v>
      </c>
      <c r="C116" s="1271" t="str">
        <f>'P1 Mill'!A66</f>
        <v>Company Results 1.4.3</v>
      </c>
      <c r="D116" s="1230" t="str">
        <f>'P1 Mill'!B66</f>
        <v>Grievance mechanism for communities are in place</v>
      </c>
      <c r="E116" s="1231" t="str">
        <f>'P1 Mill'!C66</f>
        <v>Yes</v>
      </c>
      <c r="F116" s="1230"/>
      <c r="G116" s="1232" t="str">
        <f>'P1 Mill'!E66</f>
        <v>COMPLIANT</v>
      </c>
      <c r="H116" s="932" t="str">
        <f>'P1 Mill'!C64</f>
        <v>Yes</v>
      </c>
      <c r="I116" s="483"/>
      <c r="J116" s="955"/>
      <c r="K116" s="51"/>
      <c r="L116" s="479"/>
      <c r="M116" s="21" t="str">
        <f t="shared" si="2"/>
        <v/>
      </c>
      <c r="N116" s="374" t="e">
        <f t="shared" si="1"/>
        <v>#DIV/0!</v>
      </c>
      <c r="Q116" s="709"/>
    </row>
    <row r="117" spans="1:17" s="692" customFormat="1" ht="30" customHeight="1" x14ac:dyDescent="0.3">
      <c r="A117" s="1267"/>
      <c r="B117" s="1298" t="s">
        <v>236</v>
      </c>
      <c r="C117" s="816" t="str">
        <f>'P2 Mill'!A7</f>
        <v>Company Results 2.1.1</v>
      </c>
      <c r="D117" s="888" t="str">
        <f>'P2 Mill'!$B$7</f>
        <v xml:space="preserve"> Main health and safety hazards and risks are identified, documented, assessed, communicated to workers , and mitigated</v>
      </c>
      <c r="E117" s="889" t="str">
        <f>'P2 Mill'!$C$7</f>
        <v>Yes</v>
      </c>
      <c r="F117" s="890"/>
      <c r="G117" s="931" t="str">
        <f>'P2 Mill'!$E$7</f>
        <v>COMPLIANT</v>
      </c>
      <c r="H117" s="931" t="str">
        <f>'P2 Mill'!$C$3</f>
        <v>Yes</v>
      </c>
      <c r="I117" s="928" t="s">
        <v>242</v>
      </c>
      <c r="J117" s="923"/>
      <c r="K117" s="985" t="str">
        <f>'P2 Mill'!A1</f>
        <v>Principle 2.</v>
      </c>
      <c r="L117" s="479"/>
      <c r="M117" s="21" t="str">
        <f t="shared" si="2"/>
        <v/>
      </c>
      <c r="N117" s="374" t="e">
        <f t="shared" si="1"/>
        <v>#DIV/0!</v>
      </c>
      <c r="O117" s="709"/>
      <c r="P117" s="709"/>
      <c r="Q117" s="709"/>
    </row>
    <row r="118" spans="1:17" s="692" customFormat="1" ht="27" x14ac:dyDescent="0.3">
      <c r="A118" s="1267"/>
      <c r="B118" s="1298" t="s">
        <v>236</v>
      </c>
      <c r="C118" s="816" t="str">
        <f>'P2 Mill'!A12</f>
        <v>Company Results 2.1.2</v>
      </c>
      <c r="D118" s="888" t="str">
        <f>'P2 Mill'!$B$12</f>
        <v>Health and safety risks are managed through implemented and enforced plans</v>
      </c>
      <c r="E118" s="891" t="str">
        <f>'P2 Mill'!$C$12</f>
        <v>Yes</v>
      </c>
      <c r="F118" s="890"/>
      <c r="G118" s="822" t="str">
        <f>'P2 Mill'!$E$12</f>
        <v>COMPLIANT</v>
      </c>
      <c r="H118" s="949" t="str">
        <f>'P2 Mill'!$C$10</f>
        <v>Yes</v>
      </c>
      <c r="I118" s="483"/>
      <c r="J118" s="955"/>
      <c r="K118" s="51"/>
      <c r="L118" s="479"/>
      <c r="M118" s="21" t="str">
        <f t="shared" si="2"/>
        <v/>
      </c>
      <c r="N118" s="374" t="e">
        <f t="shared" si="1"/>
        <v>#DIV/0!</v>
      </c>
      <c r="O118" s="709"/>
      <c r="P118" s="709"/>
      <c r="Q118" s="709"/>
    </row>
    <row r="119" spans="1:17" s="692" customFormat="1" ht="27" x14ac:dyDescent="0.25">
      <c r="A119" s="1262"/>
      <c r="B119" s="1298" t="s">
        <v>236</v>
      </c>
      <c r="C119" s="792" t="s">
        <v>245</v>
      </c>
      <c r="D119" s="855" t="str">
        <f>'P2 Mill'!$B$19</f>
        <v>Right to water and sanitation safeguards are designed implemented and enforced</v>
      </c>
      <c r="E119" s="880" t="str">
        <f>'P2 Mill'!$C$19</f>
        <v>Yes</v>
      </c>
      <c r="F119" s="790"/>
      <c r="G119" s="790" t="str">
        <f>'P2 Mill'!$E$19</f>
        <v>COMPLIANT</v>
      </c>
      <c r="H119" s="950" t="str">
        <f>'P2 Mill'!$C$15</f>
        <v>Yes</v>
      </c>
      <c r="I119" s="364"/>
      <c r="J119" s="956"/>
      <c r="K119" s="51"/>
      <c r="L119" s="479"/>
      <c r="M119" s="21" t="str">
        <f t="shared" si="2"/>
        <v/>
      </c>
      <c r="N119" s="374" t="str">
        <f t="shared" si="1"/>
        <v/>
      </c>
      <c r="O119" s="709"/>
      <c r="P119" s="709"/>
      <c r="Q119" s="709"/>
    </row>
    <row r="120" spans="1:17" ht="27" x14ac:dyDescent="0.25">
      <c r="A120" s="1262"/>
      <c r="B120" s="1298" t="s">
        <v>236</v>
      </c>
      <c r="C120" s="792" t="s">
        <v>247</v>
      </c>
      <c r="D120" s="855" t="s">
        <v>273</v>
      </c>
      <c r="E120" s="880" t="str">
        <f>'P2 Mill'!$C$24</f>
        <v>Yes</v>
      </c>
      <c r="F120" s="790"/>
      <c r="G120" s="790" t="str">
        <f>'P2 Mill'!$E$24</f>
        <v>COMPLIANT</v>
      </c>
      <c r="H120" s="950" t="str">
        <f>'P2 Mill'!$C$22</f>
        <v>Yes</v>
      </c>
      <c r="I120" s="483"/>
      <c r="J120" s="955"/>
      <c r="K120" s="51"/>
      <c r="L120" s="479"/>
      <c r="M120" s="21" t="str">
        <f t="shared" si="2"/>
        <v/>
      </c>
      <c r="N120" s="374" t="str">
        <f t="shared" si="1"/>
        <v/>
      </c>
      <c r="Q120" s="709"/>
    </row>
    <row r="121" spans="1:17" x14ac:dyDescent="0.25">
      <c r="A121" s="1262"/>
      <c r="B121" s="1298" t="s">
        <v>240</v>
      </c>
      <c r="C121" s="792" t="s">
        <v>249</v>
      </c>
      <c r="D121" s="855" t="str">
        <f>'P2 Mill'!$B$29</f>
        <v>Training for health and safety.</v>
      </c>
      <c r="E121" s="880">
        <f>'P2 Mill'!$C$29</f>
        <v>0</v>
      </c>
      <c r="F121" s="790"/>
      <c r="G121" s="790" t="str">
        <f>'P2 Mill'!$E$29</f>
        <v>NOT COMPLIANT</v>
      </c>
      <c r="H121" s="951" t="str">
        <f>'P2 Mill'!$C$27</f>
        <v>&gt;90</v>
      </c>
      <c r="I121" s="364"/>
      <c r="J121" s="956"/>
      <c r="K121" s="51"/>
      <c r="L121" s="479"/>
      <c r="M121" s="21" t="str">
        <f t="shared" si="2"/>
        <v/>
      </c>
      <c r="N121" s="374" t="str">
        <f t="shared" si="1"/>
        <v/>
      </c>
      <c r="Q121" s="709"/>
    </row>
    <row r="122" spans="1:17" ht="24.6" customHeight="1" x14ac:dyDescent="0.25">
      <c r="A122" s="1262"/>
      <c r="B122" s="1298" t="s">
        <v>236</v>
      </c>
      <c r="C122" s="792" t="s">
        <v>251</v>
      </c>
      <c r="D122" s="792" t="s">
        <v>252</v>
      </c>
      <c r="E122" s="880" t="str">
        <f>'P2 Mill'!$C$34</f>
        <v>Yes</v>
      </c>
      <c r="F122" s="790"/>
      <c r="G122" s="790" t="str">
        <f>'P2 Mill'!$E$34</f>
        <v>COMPLIANT</v>
      </c>
      <c r="H122" s="951" t="str">
        <f>'P2 Mill'!$C$32</f>
        <v>Yes</v>
      </c>
      <c r="I122" s="364"/>
      <c r="J122" s="956"/>
      <c r="K122" s="51"/>
      <c r="L122" s="479"/>
      <c r="M122" s="21" t="str">
        <f t="shared" si="2"/>
        <v/>
      </c>
      <c r="N122" s="374" t="str">
        <f t="shared" si="1"/>
        <v/>
      </c>
      <c r="Q122" s="709"/>
    </row>
    <row r="123" spans="1:17" x14ac:dyDescent="0.25">
      <c r="A123" s="1262"/>
      <c r="B123" s="1299" t="s">
        <v>240</v>
      </c>
      <c r="C123" s="912" t="s">
        <v>253</v>
      </c>
      <c r="D123" s="912" t="str">
        <f>'P2 Mill'!$B$43</f>
        <v>Lost time accident frequency</v>
      </c>
      <c r="E123" s="1025" t="e">
        <f>'P2 Mill'!$C$43</f>
        <v>#DIV/0!</v>
      </c>
      <c r="F123" s="914"/>
      <c r="G123" s="914" t="str">
        <f>'P2 Mill'!E$43</f>
        <v/>
      </c>
      <c r="H123" s="963" t="str">
        <f>'P2 Mill'!$C$37</f>
        <v>&lt;15</v>
      </c>
      <c r="I123" s="484"/>
      <c r="J123" s="958"/>
      <c r="K123" s="51"/>
      <c r="L123" s="479"/>
      <c r="M123" s="21" t="str">
        <f t="shared" si="2"/>
        <v/>
      </c>
      <c r="N123" s="374" t="str">
        <f t="shared" si="1"/>
        <v/>
      </c>
      <c r="Q123" s="709"/>
    </row>
    <row r="124" spans="1:17" x14ac:dyDescent="0.25">
      <c r="A124" s="1262"/>
      <c r="B124" s="1298" t="s">
        <v>236</v>
      </c>
      <c r="C124" s="967" t="s">
        <v>320</v>
      </c>
      <c r="D124" s="967" t="str">
        <f>'P2 Mill'!$B$48</f>
        <v>Existence of a contract or equivalent document.</v>
      </c>
      <c r="E124" s="960">
        <f>'P2 Mill'!$C$48</f>
        <v>0</v>
      </c>
      <c r="F124" s="962"/>
      <c r="G124" s="962" t="str">
        <f>'P2 Mill'!$E$48</f>
        <v>NOT COMPLIANT</v>
      </c>
      <c r="H124" s="968">
        <f>'P2 Mill'!$C$46</f>
        <v>100</v>
      </c>
      <c r="I124" s="928" t="s">
        <v>255</v>
      </c>
      <c r="J124" s="974"/>
      <c r="K124" s="51"/>
      <c r="L124" s="479"/>
      <c r="M124" s="21" t="str">
        <f t="shared" si="2"/>
        <v>XXX</v>
      </c>
      <c r="N124" s="374" t="e">
        <f t="shared" si="1"/>
        <v>#DIV/0!</v>
      </c>
      <c r="Q124" s="709"/>
    </row>
    <row r="125" spans="1:17" x14ac:dyDescent="0.25">
      <c r="A125" s="1262"/>
      <c r="B125" s="1298" t="s">
        <v>236</v>
      </c>
      <c r="C125" s="792" t="s">
        <v>321</v>
      </c>
      <c r="D125" s="792" t="str">
        <f>'P2 Mill'!$B$59</f>
        <v>Maximum number of hours worked</v>
      </c>
      <c r="E125" s="1002">
        <f>'P2 Mill'!$C$59</f>
        <v>0</v>
      </c>
      <c r="F125" s="790"/>
      <c r="G125" s="790" t="str">
        <f>'P2 Mill'!$E$59</f>
        <v/>
      </c>
      <c r="H125" s="952" t="str">
        <f>'P2 Mill'!$C$51</f>
        <v>&lt;=60</v>
      </c>
      <c r="I125" s="364"/>
      <c r="J125" s="954"/>
      <c r="K125" s="51"/>
      <c r="L125" s="479"/>
      <c r="M125" s="21" t="str">
        <f t="shared" si="2"/>
        <v/>
      </c>
      <c r="N125" s="374" t="str">
        <f t="shared" si="1"/>
        <v>OOO</v>
      </c>
      <c r="Q125" s="709"/>
    </row>
    <row r="126" spans="1:17" x14ac:dyDescent="0.25">
      <c r="A126" s="1262"/>
      <c r="B126" s="1298" t="s">
        <v>236</v>
      </c>
      <c r="C126" s="792" t="s">
        <v>322</v>
      </c>
      <c r="D126" s="792" t="str">
        <f>'P2 Mill'!$B$64</f>
        <v>Overtime work is paid at a premium rate</v>
      </c>
      <c r="E126" s="880">
        <f>'P2 Mill'!$C$64</f>
        <v>0</v>
      </c>
      <c r="F126" s="770"/>
      <c r="G126" s="790" t="str">
        <f>'P2 Mill'!$E$64</f>
        <v>NOT COMPLIANT</v>
      </c>
      <c r="H126" s="952">
        <f>'P2 Mill'!$C$62</f>
        <v>25</v>
      </c>
      <c r="I126" s="364"/>
      <c r="J126" s="954"/>
      <c r="K126" s="51"/>
      <c r="L126" s="479"/>
      <c r="M126" s="21" t="str">
        <f t="shared" si="2"/>
        <v>XXX</v>
      </c>
      <c r="N126" s="374" t="str">
        <f t="shared" si="1"/>
        <v/>
      </c>
      <c r="Q126" s="709"/>
    </row>
    <row r="127" spans="1:17" ht="27" x14ac:dyDescent="0.25">
      <c r="A127" s="1262"/>
      <c r="B127" s="1298" t="s">
        <v>236</v>
      </c>
      <c r="C127" s="792" t="s">
        <v>323</v>
      </c>
      <c r="D127" s="855" t="str">
        <f>'P2 Mill'!$B$73</f>
        <v>Ratio of lowest entry level wage including benefits to  minimum wage and benefits .</v>
      </c>
      <c r="E127" s="875">
        <f>'P2 Mill'!$C$73</f>
        <v>0</v>
      </c>
      <c r="F127" s="770"/>
      <c r="G127" s="790" t="str">
        <f>'P2 Mill'!$E$73</f>
        <v>NOT COMPLIANT</v>
      </c>
      <c r="H127" s="952" t="str">
        <f>'P2 Mill'!$C$67</f>
        <v>&gt;1</v>
      </c>
      <c r="I127" s="483"/>
      <c r="J127" s="955"/>
      <c r="K127" s="51"/>
      <c r="L127" s="479"/>
      <c r="M127" s="21" t="str">
        <f t="shared" si="2"/>
        <v>XXX</v>
      </c>
      <c r="N127" s="374" t="str">
        <f t="shared" ref="N127:N189" si="3">IF(AND(B102= "Non-core", G102="NOT COMPLIANT"),"OOO","")</f>
        <v>OOO</v>
      </c>
      <c r="Q127" s="709"/>
    </row>
    <row r="128" spans="1:17" s="692" customFormat="1" x14ac:dyDescent="0.25">
      <c r="A128" s="1262"/>
      <c r="B128" s="1298" t="s">
        <v>240</v>
      </c>
      <c r="C128" s="792" t="s">
        <v>324</v>
      </c>
      <c r="D128" s="855" t="str">
        <f>'P2 Mill'!$B$82</f>
        <v>Minimum wage is guaranteed to piece rate paid workers</v>
      </c>
      <c r="E128" s="880">
        <f>'P2 Mill'!$C$82</f>
        <v>0</v>
      </c>
      <c r="F128" s="770"/>
      <c r="G128" s="790" t="str">
        <f>'P2 Mill'!$E$82</f>
        <v>NOT COMPLIANT</v>
      </c>
      <c r="H128" s="952" t="str">
        <f>'P2 Mill'!$C$76</f>
        <v>&gt;1</v>
      </c>
      <c r="I128" s="942"/>
      <c r="J128" s="956"/>
      <c r="K128" s="51"/>
      <c r="L128" s="479"/>
      <c r="M128" s="21" t="str">
        <f t="shared" si="2"/>
        <v/>
      </c>
      <c r="N128" s="374" t="str">
        <f t="shared" si="3"/>
        <v/>
      </c>
      <c r="O128" s="709"/>
      <c r="P128" s="709"/>
      <c r="Q128" s="709"/>
    </row>
    <row r="129" spans="1:17" s="692" customFormat="1" ht="54" x14ac:dyDescent="0.25">
      <c r="A129" s="1262"/>
      <c r="B129" s="1299" t="s">
        <v>240</v>
      </c>
      <c r="C129" s="792" t="s">
        <v>325</v>
      </c>
      <c r="D129" s="855" t="str">
        <f>'P2 Mill'!$B$95</f>
        <v>Movement to close living wage gap</v>
      </c>
      <c r="E129" s="875" t="e">
        <f>'P2 Mill'!$C$95</f>
        <v>#DIV/0!</v>
      </c>
      <c r="F129" s="770" t="str">
        <f>'P2 Mill'!$D$95</f>
        <v>%</v>
      </c>
      <c r="G129" s="790" t="str">
        <f>'P2 Mill'!$E$95</f>
        <v/>
      </c>
      <c r="H129" s="951" t="str">
        <f>'P2 Mill'!C$85</f>
        <v>• 5% first certification period 
• 10% each successive certification period.10%</v>
      </c>
      <c r="I129" s="364"/>
      <c r="J129" s="956"/>
      <c r="K129" s="51"/>
      <c r="L129" s="479"/>
      <c r="M129" s="21" t="str">
        <f t="shared" si="2"/>
        <v/>
      </c>
      <c r="N129" s="374" t="e">
        <f t="shared" si="3"/>
        <v>#DIV/0!</v>
      </c>
      <c r="O129" s="709"/>
      <c r="P129" s="709"/>
      <c r="Q129" s="709"/>
    </row>
    <row r="130" spans="1:17" s="692" customFormat="1" x14ac:dyDescent="0.25">
      <c r="A130" s="1262"/>
      <c r="B130" s="1298" t="s">
        <v>236</v>
      </c>
      <c r="C130" s="967" t="s">
        <v>258</v>
      </c>
      <c r="D130" s="959" t="str">
        <f>'P2 Mill'!$B$100</f>
        <v>Absence of discrimination</v>
      </c>
      <c r="E130" s="960" t="str">
        <f>'P2 Mill'!$C$100</f>
        <v>Yes</v>
      </c>
      <c r="F130" s="961"/>
      <c r="G130" s="962" t="str">
        <f>'P2 Mill'!$E$100</f>
        <v>COMPLIANT</v>
      </c>
      <c r="H130" s="968" t="str">
        <f>'P2 Mill'!$C$98</f>
        <v>Yes</v>
      </c>
      <c r="I130" s="928" t="s">
        <v>260</v>
      </c>
      <c r="J130" s="974"/>
      <c r="K130" s="51"/>
      <c r="L130" s="479"/>
      <c r="M130" s="21" t="str">
        <f t="shared" si="2"/>
        <v/>
      </c>
      <c r="N130" s="374" t="str">
        <f t="shared" si="3"/>
        <v/>
      </c>
      <c r="O130" s="709"/>
      <c r="P130" s="709"/>
      <c r="Q130" s="709"/>
    </row>
    <row r="131" spans="1:17" s="692" customFormat="1" x14ac:dyDescent="0.25">
      <c r="A131" s="1262"/>
      <c r="B131" s="1298" t="s">
        <v>236</v>
      </c>
      <c r="C131" s="792" t="s">
        <v>261</v>
      </c>
      <c r="D131" s="855" t="str">
        <f>'P2 Mill'!$B$105</f>
        <v>Absence of abuse/ harassment</v>
      </c>
      <c r="E131" s="880" t="str">
        <f>'P2 Mill'!$C$105</f>
        <v>Yes</v>
      </c>
      <c r="F131" s="770"/>
      <c r="G131" s="790" t="str">
        <f>'P2 Mill'!$E$105</f>
        <v>COMPLIANT</v>
      </c>
      <c r="H131" s="952" t="str">
        <f>'P2 Mill'!$C$103</f>
        <v>Yes</v>
      </c>
      <c r="I131" s="483"/>
      <c r="J131" s="955"/>
      <c r="K131" s="51"/>
      <c r="L131" s="479"/>
      <c r="M131" s="21" t="str">
        <f t="shared" si="2"/>
        <v/>
      </c>
      <c r="N131" s="374" t="str">
        <f t="shared" si="3"/>
        <v/>
      </c>
      <c r="O131" s="709"/>
      <c r="P131" s="709"/>
      <c r="Q131" s="709"/>
    </row>
    <row r="132" spans="1:17" s="692" customFormat="1" x14ac:dyDescent="0.25">
      <c r="A132" s="1262"/>
      <c r="B132" s="1298" t="s">
        <v>236</v>
      </c>
      <c r="C132" s="792" t="s">
        <v>263</v>
      </c>
      <c r="D132" s="855" t="str">
        <f>'P2 Mill'!$B$110</f>
        <v>Debt bondage, trafficking, and forced/compulsory labour are absent</v>
      </c>
      <c r="E132" s="880" t="str">
        <f>'P2 Mill'!$C$110</f>
        <v>Yes</v>
      </c>
      <c r="F132" s="770"/>
      <c r="G132" s="790" t="str">
        <f>'P2 Mill'!$E$110</f>
        <v>COMPLIANT</v>
      </c>
      <c r="H132" s="952" t="str">
        <f>'P2 Mill'!$C$108</f>
        <v>Yes</v>
      </c>
      <c r="I132" s="364"/>
      <c r="J132" s="954"/>
      <c r="K132" s="478"/>
      <c r="L132" s="479"/>
      <c r="M132" s="21" t="str">
        <f t="shared" si="2"/>
        <v/>
      </c>
      <c r="N132" s="374" t="str">
        <f t="shared" si="3"/>
        <v/>
      </c>
      <c r="O132" s="709"/>
      <c r="P132" s="709"/>
      <c r="Q132" s="709"/>
    </row>
    <row r="133" spans="1:17" s="692" customFormat="1" ht="18.75" x14ac:dyDescent="0.25">
      <c r="A133" s="1262"/>
      <c r="B133" s="1298" t="s">
        <v>236</v>
      </c>
      <c r="C133" s="792" t="s">
        <v>265</v>
      </c>
      <c r="D133" s="855" t="str">
        <f>'P2 Mill'!$B$119</f>
        <v>Absence of child labour</v>
      </c>
      <c r="E133" s="880">
        <f>'P2 Mill'!$C$119</f>
        <v>0</v>
      </c>
      <c r="F133" s="770"/>
      <c r="G133" s="790" t="str">
        <f>'P2 Mill'!$E$119</f>
        <v>NON COMPLIANT</v>
      </c>
      <c r="H133" s="952" t="str">
        <f>'P2 Mill'!$C$113</f>
        <v>&gt; 18</v>
      </c>
      <c r="I133" s="364"/>
      <c r="J133" s="954"/>
      <c r="K133" s="941"/>
      <c r="L133" s="570"/>
      <c r="M133" s="21" t="str">
        <f t="shared" si="2"/>
        <v/>
      </c>
      <c r="N133" s="374" t="str">
        <f t="shared" si="3"/>
        <v/>
      </c>
      <c r="O133" s="709"/>
      <c r="P133" s="709"/>
      <c r="Q133" s="709"/>
    </row>
    <row r="134" spans="1:17" s="692" customFormat="1" ht="18.75" x14ac:dyDescent="0.25">
      <c r="A134" s="1262"/>
      <c r="B134" s="1298" t="s">
        <v>236</v>
      </c>
      <c r="C134" s="792" t="s">
        <v>267</v>
      </c>
      <c r="D134" s="855" t="str">
        <f>'P2 Mill'!$B$126</f>
        <v xml:space="preserve">Adequate accommodation is provided </v>
      </c>
      <c r="E134" s="880" t="str">
        <f>'P2 Mill'!$C$126</f>
        <v/>
      </c>
      <c r="F134" s="770" t="s">
        <v>210</v>
      </c>
      <c r="G134" s="790" t="str">
        <f>'P2 Mill'!$E$126</f>
        <v>NOT COMPLIANT</v>
      </c>
      <c r="H134" s="952">
        <f>'P2 Mill'!$C$122</f>
        <v>100</v>
      </c>
      <c r="I134" s="364"/>
      <c r="J134" s="954"/>
      <c r="K134" s="941"/>
      <c r="L134" s="570"/>
      <c r="M134" s="21" t="str">
        <f t="shared" si="2"/>
        <v>XXX</v>
      </c>
      <c r="N134" s="374" t="str">
        <f t="shared" si="3"/>
        <v/>
      </c>
      <c r="O134" s="709"/>
      <c r="P134" s="709"/>
      <c r="Q134" s="709"/>
    </row>
    <row r="135" spans="1:17" ht="30.95" customHeight="1" x14ac:dyDescent="0.25">
      <c r="A135" s="1262"/>
      <c r="B135" s="1299" t="s">
        <v>240</v>
      </c>
      <c r="C135" s="912" t="s">
        <v>326</v>
      </c>
      <c r="D135" s="917" t="str">
        <f>'P2 Mill'!$B$135</f>
        <v>Working hours lost as percent of total hours worked</v>
      </c>
      <c r="E135" s="1025" t="str">
        <f>'P2 Mill'!$C$135</f>
        <v/>
      </c>
      <c r="F135" s="918" t="str">
        <f>'P2 Mill'!$D$135</f>
        <v>%</v>
      </c>
      <c r="G135" s="914" t="str">
        <f>'P2 Mill'!$E$135</f>
        <v/>
      </c>
      <c r="H135" s="963" t="str">
        <f>'P2 Mill'!$C$129</f>
        <v>&lt; 5 %</v>
      </c>
      <c r="I135" s="924"/>
      <c r="J135" s="973"/>
      <c r="K135" s="941"/>
      <c r="L135" s="570"/>
      <c r="M135" s="21" t="str">
        <f t="shared" si="2"/>
        <v/>
      </c>
      <c r="N135" s="374" t="str">
        <f t="shared" si="3"/>
        <v/>
      </c>
      <c r="Q135" s="709"/>
    </row>
    <row r="136" spans="1:17" ht="27" x14ac:dyDescent="0.25">
      <c r="A136" s="1262"/>
      <c r="B136" s="1298" t="s">
        <v>236</v>
      </c>
      <c r="C136" s="792" t="s">
        <v>269</v>
      </c>
      <c r="D136" s="959" t="str">
        <f>'P2 Mill'!$B$139</f>
        <v>Respect the right of all workers to form and join trade unions and/or to bargain collectively free from interference  from the operator</v>
      </c>
      <c r="E136" s="960" t="str">
        <f>'P2 Mill'!$C$139</f>
        <v>Yes</v>
      </c>
      <c r="F136" s="961"/>
      <c r="G136" s="962" t="str">
        <f>'P2 Mill'!$E$139</f>
        <v>COMPLIANT</v>
      </c>
      <c r="H136" s="968" t="str">
        <f>'P2 Mill'!$C$137</f>
        <v>Yes</v>
      </c>
      <c r="I136" s="928" t="s">
        <v>271</v>
      </c>
      <c r="J136" s="972"/>
      <c r="K136" s="941"/>
      <c r="L136" s="570"/>
      <c r="M136" s="21" t="str">
        <f t="shared" si="2"/>
        <v/>
      </c>
      <c r="N136" s="374" t="str">
        <f t="shared" si="3"/>
        <v/>
      </c>
      <c r="Q136" s="709"/>
    </row>
    <row r="137" spans="1:17" ht="27" x14ac:dyDescent="0.25">
      <c r="A137" s="1262"/>
      <c r="B137" s="1298" t="s">
        <v>236</v>
      </c>
      <c r="C137" s="792" t="s">
        <v>272</v>
      </c>
      <c r="D137" s="855" t="s">
        <v>273</v>
      </c>
      <c r="E137" s="880" t="str">
        <f>'P2 Mill'!$C$144</f>
        <v>Yes</v>
      </c>
      <c r="F137" s="770"/>
      <c r="G137" s="790" t="str">
        <f>'P2 Mill'!$E$144</f>
        <v>COMPLIANT</v>
      </c>
      <c r="H137" s="952" t="str">
        <f>'P2 Mill'!$C$142</f>
        <v>Yes</v>
      </c>
      <c r="I137" s="364"/>
      <c r="J137" s="954"/>
      <c r="K137" s="941"/>
      <c r="L137" s="570"/>
      <c r="M137" s="21" t="str">
        <f t="shared" si="2"/>
        <v/>
      </c>
      <c r="N137" s="374" t="str">
        <f t="shared" si="3"/>
        <v/>
      </c>
      <c r="Q137" s="709"/>
    </row>
    <row r="138" spans="1:17" ht="19.5" thickBot="1" x14ac:dyDescent="0.3">
      <c r="A138" s="1262"/>
      <c r="B138" s="1299" t="s">
        <v>236</v>
      </c>
      <c r="C138" s="912" t="s">
        <v>274</v>
      </c>
      <c r="D138" s="917" t="str">
        <f>'P2 Mill'!B149</f>
        <v>Grievance mechanism for workers in place</v>
      </c>
      <c r="E138" s="913" t="str">
        <f>'P2 Mill'!C149</f>
        <v>Yes</v>
      </c>
      <c r="F138" s="918"/>
      <c r="G138" s="914" t="str">
        <f>'P2 Mill'!E149</f>
        <v>COMPLIANT</v>
      </c>
      <c r="H138" s="963" t="str">
        <f>'P2 Mill'!C147</f>
        <v>Yes</v>
      </c>
      <c r="I138" s="924"/>
      <c r="J138" s="973"/>
      <c r="K138" s="981"/>
      <c r="L138" s="982"/>
      <c r="M138" s="21" t="str">
        <f t="shared" si="2"/>
        <v/>
      </c>
      <c r="N138" s="374" t="str">
        <f t="shared" si="3"/>
        <v/>
      </c>
      <c r="Q138" s="709"/>
    </row>
    <row r="139" spans="1:17" ht="21.75" customHeight="1" x14ac:dyDescent="0.25">
      <c r="A139" s="1262"/>
      <c r="B139" s="1298" t="s">
        <v>240</v>
      </c>
      <c r="C139" s="792" t="s">
        <v>279</v>
      </c>
      <c r="D139" s="959" t="str">
        <f>'P3 Mill'!$B$11</f>
        <v>Theoretical recoverable sugar content of cane</v>
      </c>
      <c r="E139" s="1037" t="e">
        <f>'P3 Mill'!$C$11</f>
        <v>#DIV/0!</v>
      </c>
      <c r="F139" s="961"/>
      <c r="G139" s="962" t="str">
        <f>'P3 Mill'!$E$11</f>
        <v/>
      </c>
      <c r="H139" s="968" t="str">
        <f>'P3 Mill'!$C$3</f>
        <v>&gt; 10</v>
      </c>
      <c r="I139" s="928" t="s">
        <v>278</v>
      </c>
      <c r="J139" s="972"/>
      <c r="K139" s="986" t="str">
        <f>'P3 Mill'!A1</f>
        <v>Principle 3.</v>
      </c>
      <c r="L139" s="570"/>
      <c r="M139" s="21" t="str">
        <f t="shared" si="2"/>
        <v/>
      </c>
      <c r="N139" s="374" t="str">
        <f t="shared" si="3"/>
        <v/>
      </c>
      <c r="Q139" s="709"/>
    </row>
    <row r="140" spans="1:17" ht="18.75" x14ac:dyDescent="0.25">
      <c r="A140" s="1262"/>
      <c r="B140" s="1298" t="s">
        <v>240</v>
      </c>
      <c r="C140" s="792" t="s">
        <v>281</v>
      </c>
      <c r="D140" s="855" t="str">
        <f>'P3 Mill'!$B$23</f>
        <v>Fermentable total sugars content of cane expressed as invert (TSAI)</v>
      </c>
      <c r="E140" s="875">
        <f>'P3 Mill'!$C$23</f>
        <v>0</v>
      </c>
      <c r="F140" s="770"/>
      <c r="G140" s="790" t="str">
        <f>'P3 Mill'!$E$23</f>
        <v/>
      </c>
      <c r="H140" s="952" t="str">
        <f>'P3 Mill'!$C$14</f>
        <v>&gt; 120</v>
      </c>
      <c r="I140" s="364"/>
      <c r="J140" s="954"/>
      <c r="K140" s="941"/>
      <c r="L140" s="570"/>
      <c r="M140" s="21" t="str">
        <f t="shared" si="2"/>
        <v/>
      </c>
      <c r="N140" s="374" t="str">
        <f t="shared" si="3"/>
        <v/>
      </c>
      <c r="Q140" s="709"/>
    </row>
    <row r="141" spans="1:17" ht="18.75" x14ac:dyDescent="0.25">
      <c r="A141" s="1262"/>
      <c r="B141" s="1298" t="s">
        <v>240</v>
      </c>
      <c r="C141" s="792" t="s">
        <v>327</v>
      </c>
      <c r="D141" s="855" t="str">
        <f>'P3 Mill'!$B$34</f>
        <v>Mill overall time efficiency</v>
      </c>
      <c r="E141" s="875" t="e">
        <f>'P3 Mill'!$C$34</f>
        <v>#DIV/0!</v>
      </c>
      <c r="F141" s="770"/>
      <c r="G141" s="790" t="str">
        <f>'P3 Mill'!$E$34</f>
        <v/>
      </c>
      <c r="H141" s="952" t="str">
        <f>'P3 Mill'!$C$27</f>
        <v>&gt; 75</v>
      </c>
      <c r="I141" s="483"/>
      <c r="J141" s="955"/>
      <c r="K141" s="941"/>
      <c r="L141" s="570"/>
      <c r="M141" s="21" t="str">
        <f t="shared" si="2"/>
        <v/>
      </c>
      <c r="N141" s="374" t="str">
        <f t="shared" si="3"/>
        <v/>
      </c>
      <c r="Q141" s="709"/>
    </row>
    <row r="142" spans="1:17" x14ac:dyDescent="0.25">
      <c r="A142" s="1262"/>
      <c r="B142" s="1298" t="s">
        <v>240</v>
      </c>
      <c r="C142" s="792" t="s">
        <v>328</v>
      </c>
      <c r="D142" s="855" t="str">
        <f>'P3 Mill'!$B$57</f>
        <v>Factory performance Index</v>
      </c>
      <c r="E142" s="875" t="e">
        <f>'P3 Mill'!$C$57</f>
        <v>#DIV/0!</v>
      </c>
      <c r="F142" s="770"/>
      <c r="G142" s="790" t="e">
        <f>'P3 Mill'!$E$57</f>
        <v>#DIV/0!</v>
      </c>
      <c r="H142" s="952" t="str">
        <f>'P3 Mill'!$C$37</f>
        <v>&gt; 90</v>
      </c>
      <c r="I142" s="483"/>
      <c r="J142" s="955"/>
      <c r="K142" s="51"/>
      <c r="L142" s="479"/>
      <c r="M142" s="21" t="e">
        <f t="shared" si="2"/>
        <v>#DIV/0!</v>
      </c>
      <c r="N142" s="374" t="str">
        <f t="shared" si="3"/>
        <v/>
      </c>
      <c r="Q142" s="709"/>
    </row>
    <row r="143" spans="1:17" x14ac:dyDescent="0.25">
      <c r="A143" s="1262"/>
      <c r="B143" s="1299" t="s">
        <v>240</v>
      </c>
      <c r="C143" s="912" t="s">
        <v>329</v>
      </c>
      <c r="D143" s="917" t="str">
        <f>'P3 Mill'!$B$78</f>
        <v>Industrial efficiency</v>
      </c>
      <c r="E143" s="1025" t="e">
        <f>'P3 Mill'!$C$78</f>
        <v>#DIV/0!</v>
      </c>
      <c r="F143" s="918"/>
      <c r="G143" s="914" t="str">
        <f>'P3 Mill'!$E$78</f>
        <v/>
      </c>
      <c r="H143" s="963" t="str">
        <f>'P3 Mill'!$C$60</f>
        <v>&gt; 75</v>
      </c>
      <c r="I143" s="484"/>
      <c r="J143" s="958"/>
      <c r="K143" s="51"/>
      <c r="L143" s="479"/>
      <c r="M143" s="21" t="str">
        <f t="shared" si="2"/>
        <v/>
      </c>
      <c r="N143" s="374" t="str">
        <f t="shared" si="3"/>
        <v/>
      </c>
      <c r="Q143" s="709"/>
    </row>
    <row r="144" spans="1:17" x14ac:dyDescent="0.25">
      <c r="A144" s="1262"/>
      <c r="B144" s="1298" t="s">
        <v>240</v>
      </c>
      <c r="C144" s="967" t="s">
        <v>285</v>
      </c>
      <c r="D144" s="959" t="str">
        <f>'P3 Mill'!$B$83</f>
        <v xml:space="preserve"> Climate change adaptation and resilience plan</v>
      </c>
      <c r="E144" s="960" t="str">
        <f>'P3 Mill'!$C$83</f>
        <v>Yes</v>
      </c>
      <c r="F144" s="961"/>
      <c r="G144" s="962" t="str">
        <f>'P3 Mill'!$E$83</f>
        <v>COMPLIANT</v>
      </c>
      <c r="H144" s="968" t="str">
        <f>'P3 Mill'!$C$81</f>
        <v>Yes</v>
      </c>
      <c r="I144" s="928" t="s">
        <v>287</v>
      </c>
      <c r="J144" s="923"/>
      <c r="K144" s="51"/>
      <c r="L144" s="479"/>
      <c r="M144" s="21" t="str">
        <f t="shared" si="2"/>
        <v/>
      </c>
      <c r="N144" s="374" t="str">
        <f t="shared" si="3"/>
        <v/>
      </c>
      <c r="Q144" s="709"/>
    </row>
    <row r="145" spans="1:17" x14ac:dyDescent="0.25">
      <c r="A145" s="1262"/>
      <c r="B145" s="1298" t="s">
        <v>240</v>
      </c>
      <c r="C145" s="816" t="str">
        <f>'P3 Mill'!A181</f>
        <v>Company Results 3.2.3</v>
      </c>
      <c r="D145" s="774" t="str">
        <f>'P3 Mill'!$B$181</f>
        <v>Net GHG emissions per tonne of sugar</v>
      </c>
      <c r="E145" s="875">
        <f>'P3 Mill'!$C$181</f>
        <v>0</v>
      </c>
      <c r="F145" s="792" t="str">
        <f>'P3 Mill'!$D$181</f>
        <v>t CO2 eq / t sugar</v>
      </c>
      <c r="G145" s="945" t="str">
        <f>'P3 Mill'!$E$181</f>
        <v/>
      </c>
      <c r="H145" s="945" t="str">
        <f>'P3 Mill'!$C$87</f>
        <v xml:space="preserve"> &lt; 0.4</v>
      </c>
      <c r="I145" s="483"/>
      <c r="J145" s="955"/>
      <c r="K145" s="51"/>
      <c r="L145" s="479"/>
      <c r="M145" s="21" t="str">
        <f t="shared" si="2"/>
        <v/>
      </c>
      <c r="N145" s="374" t="str">
        <f t="shared" si="3"/>
        <v/>
      </c>
      <c r="Q145" s="709"/>
    </row>
    <row r="146" spans="1:17" x14ac:dyDescent="0.25">
      <c r="A146" s="1262"/>
      <c r="B146" s="1298" t="s">
        <v>240</v>
      </c>
      <c r="C146" s="816" t="str">
        <f>'P3 Mill'!A200</f>
        <v>Company Results 3.2.4</v>
      </c>
      <c r="D146" s="774" t="str">
        <f>'P3 Mill'!$B$200</f>
        <v xml:space="preserve">Net GHG emission per MJ of ethanol </v>
      </c>
      <c r="E146" s="875" t="e">
        <f>'P3 Mill'!$C$200</f>
        <v>#DIV/0!</v>
      </c>
      <c r="F146" s="792" t="str">
        <f>'P3 Mill'!$D$200</f>
        <v>g CO2 eq / MJ</v>
      </c>
      <c r="G146" s="945" t="str">
        <f>'P3 Mill'!$E$200</f>
        <v/>
      </c>
      <c r="H146" s="945" t="str">
        <f>'P3 Mill'!$C$184</f>
        <v>&lt; 24</v>
      </c>
      <c r="I146" s="483"/>
      <c r="J146" s="955"/>
      <c r="K146" s="51"/>
      <c r="L146" s="479"/>
      <c r="M146" s="21" t="str">
        <f t="shared" si="2"/>
        <v/>
      </c>
      <c r="N146" s="374" t="str">
        <f t="shared" si="3"/>
        <v>OOO</v>
      </c>
      <c r="Q146" s="709"/>
    </row>
    <row r="147" spans="1:17" ht="33.950000000000003" customHeight="1" x14ac:dyDescent="0.25">
      <c r="A147" s="1262"/>
      <c r="B147" s="1298" t="s">
        <v>240</v>
      </c>
      <c r="C147" s="907" t="str">
        <f>'P3 Mill'!A386</f>
        <v>Company Results 3.2.5</v>
      </c>
      <c r="D147" s="907" t="str">
        <f>'P3 Mill'!$B$386</f>
        <v>Total Net Primary Energy Usage per kg product</v>
      </c>
      <c r="E147" s="908" t="e">
        <f>'P3 Mill'!$C$386</f>
        <v>#DIV/0!</v>
      </c>
      <c r="F147" s="907" t="str">
        <f>'P3 Mill'!$D$386</f>
        <v>kJ /kg Product</v>
      </c>
      <c r="G147" s="946" t="str">
        <f>'P3 Mill'!$E$386</f>
        <v/>
      </c>
      <c r="H147" s="946" t="str">
        <f>'P3 Mill'!$C$203</f>
        <v xml:space="preserve"> &lt; 3000</v>
      </c>
      <c r="I147" s="483"/>
      <c r="J147" s="955"/>
      <c r="K147" s="51"/>
      <c r="L147" s="479"/>
      <c r="M147" s="21" t="str">
        <f t="shared" si="2"/>
        <v/>
      </c>
      <c r="N147" s="374" t="str">
        <f t="shared" si="3"/>
        <v/>
      </c>
      <c r="Q147" s="709"/>
    </row>
    <row r="148" spans="1:17" x14ac:dyDescent="0.25">
      <c r="A148" s="1262"/>
      <c r="B148" s="1298" t="s">
        <v>240</v>
      </c>
      <c r="C148" s="774" t="str">
        <f>'P3 Mill'!A415</f>
        <v>Company Results 3.2.6</v>
      </c>
      <c r="D148" s="775" t="str">
        <f>'P3 Mill'!$B$415</f>
        <v>Energy used in cane transport per tonne cane transported</v>
      </c>
      <c r="E148" s="944" t="e">
        <f>'P3 Mill'!$C$415</f>
        <v>#DIV/0!</v>
      </c>
      <c r="F148" s="776" t="str">
        <f>'P3 Mill'!$D$415</f>
        <v>MJ / t cane</v>
      </c>
      <c r="G148" s="947" t="str">
        <f>'P3 Mill'!$E$415</f>
        <v/>
      </c>
      <c r="H148" s="1041" t="str">
        <f>'P3 Mill'!$C$389</f>
        <v>&lt; 50</v>
      </c>
      <c r="I148" s="483"/>
      <c r="J148" s="955"/>
      <c r="K148" s="51"/>
      <c r="L148" s="479"/>
      <c r="M148" s="21" t="str">
        <f t="shared" si="2"/>
        <v/>
      </c>
      <c r="N148" s="374" t="str">
        <f t="shared" si="3"/>
        <v/>
      </c>
      <c r="Q148" s="709"/>
    </row>
    <row r="149" spans="1:17" ht="15.75" thickBot="1" x14ac:dyDescent="0.3">
      <c r="A149" s="1262"/>
      <c r="B149" s="1298" t="s">
        <v>240</v>
      </c>
      <c r="C149" s="759" t="str">
        <f>'P3 Mill'!A429</f>
        <v>Company Results 3.2.8</v>
      </c>
      <c r="D149" s="969" t="str">
        <f>'P3 Mill'!$B$429</f>
        <v>Energy Retrun On Investment (EROI)</v>
      </c>
      <c r="E149" s="970" t="e">
        <f>'P3 Mill'!$C$429</f>
        <v>#DIV/0!</v>
      </c>
      <c r="F149" s="917"/>
      <c r="G149" s="971" t="e">
        <f>'P3 Mill'!$E$429</f>
        <v>#DIV/0!</v>
      </c>
      <c r="H149" s="971" t="str">
        <f>'P3 Mill'!$C$418</f>
        <v>&gt;9</v>
      </c>
      <c r="I149" s="484"/>
      <c r="J149" s="958"/>
      <c r="K149" s="480"/>
      <c r="L149" s="481"/>
      <c r="M149" s="21" t="e">
        <f t="shared" si="2"/>
        <v>#DIV/0!</v>
      </c>
      <c r="N149" s="374" t="str">
        <f t="shared" si="3"/>
        <v/>
      </c>
      <c r="Q149" s="709"/>
    </row>
    <row r="150" spans="1:17" ht="27" x14ac:dyDescent="0.3">
      <c r="A150" s="1262"/>
      <c r="B150" s="1301" t="s">
        <v>236</v>
      </c>
      <c r="C150" s="965" t="s">
        <v>330</v>
      </c>
      <c r="D150" s="964" t="str">
        <f>'P4 Mill'!$B$8</f>
        <v xml:space="preserve">Percentage of greenfield expansion or new sugarcane project covered by ESIA </v>
      </c>
      <c r="E150" s="1118" t="str">
        <f>'P4 Mill'!$C$8</f>
        <v>Yes</v>
      </c>
      <c r="F150" s="965"/>
      <c r="G150" s="966" t="str">
        <f>'P4 Mill'!$E$8</f>
        <v>COMPLIANT</v>
      </c>
      <c r="H150" s="966" t="str">
        <f>'P4 Mill'!$C$3</f>
        <v>Yes</v>
      </c>
      <c r="I150" s="928" t="s">
        <v>289</v>
      </c>
      <c r="J150" s="923"/>
      <c r="K150" s="985" t="str">
        <f>'P4 Mill'!A1</f>
        <v>Principle 4.</v>
      </c>
      <c r="L150" s="479"/>
      <c r="M150" s="21" t="str">
        <f t="shared" si="2"/>
        <v/>
      </c>
      <c r="N150" s="374" t="str">
        <f t="shared" si="3"/>
        <v/>
      </c>
      <c r="Q150" s="709"/>
    </row>
    <row r="151" spans="1:17" ht="37.5" customHeight="1" x14ac:dyDescent="0.25">
      <c r="A151" s="1262"/>
      <c r="B151" s="1298" t="s">
        <v>236</v>
      </c>
      <c r="C151" s="967" t="str">
        <f>'P4 Mill'!A17</f>
        <v>Company Results 4.3.1</v>
      </c>
      <c r="D151" s="959" t="str">
        <f>'P4 Mill'!B17</f>
        <v>Identify main water resources, the basin, sub-basin or micro-basin where the water resource is provided and determine an action plan to contribute to its sustainability and setting objectives for water stewardship</v>
      </c>
      <c r="E151" s="995" t="str">
        <f>'P4 Mill'!C17</f>
        <v>Yes</v>
      </c>
      <c r="F151" s="961"/>
      <c r="G151" s="962" t="str">
        <f>'P4 Mill'!E17</f>
        <v>COMPLIANT</v>
      </c>
      <c r="H151" s="968" t="str">
        <f>'P4 Mill'!C15</f>
        <v>Yes</v>
      </c>
      <c r="I151" s="928" t="s">
        <v>302</v>
      </c>
      <c r="J151" s="923"/>
      <c r="K151" s="51"/>
      <c r="L151" s="479"/>
      <c r="M151" s="21" t="str">
        <f t="shared" si="2"/>
        <v/>
      </c>
      <c r="N151" s="374" t="str">
        <f t="shared" si="3"/>
        <v/>
      </c>
      <c r="Q151" s="709"/>
    </row>
    <row r="152" spans="1:17" s="692" customFormat="1" ht="21" customHeight="1" x14ac:dyDescent="0.25">
      <c r="A152" s="1262"/>
      <c r="B152" s="1298" t="s">
        <v>240</v>
      </c>
      <c r="C152" s="792" t="str">
        <f>'P4 Mill'!A28</f>
        <v xml:space="preserve">Company Results 4.3.2 </v>
      </c>
      <c r="D152" s="1331" t="str">
        <f>'P4 Mill'!B28</f>
        <v>Mapping of land/water titles &amp; claims is conducted</v>
      </c>
      <c r="E152" s="875" t="str">
        <f>'P4 Mill'!C28</f>
        <v>Yes</v>
      </c>
      <c r="F152" s="770"/>
      <c r="G152" s="790" t="str">
        <f>'P4 Mill'!E28</f>
        <v>COMPLIANT</v>
      </c>
      <c r="H152" s="952" t="str">
        <f>'P4 Mill'!C20</f>
        <v>Yes</v>
      </c>
      <c r="I152" s="483"/>
      <c r="J152" s="955"/>
      <c r="K152" s="51"/>
      <c r="L152" s="479"/>
      <c r="M152" s="21" t="str">
        <f t="shared" si="2"/>
        <v/>
      </c>
      <c r="N152" s="374" t="str">
        <f t="shared" si="3"/>
        <v/>
      </c>
      <c r="O152" s="709"/>
      <c r="P152" s="709"/>
      <c r="Q152" s="709"/>
    </row>
    <row r="153" spans="1:17" s="692" customFormat="1" x14ac:dyDescent="0.25">
      <c r="A153" s="1262"/>
      <c r="B153" s="1298" t="s">
        <v>240</v>
      </c>
      <c r="C153" s="792" t="s">
        <v>304</v>
      </c>
      <c r="D153" s="855" t="str">
        <f>'P4 Mill'!$B$33</f>
        <v>Engaging in collaborative action to promote sustainable water use</v>
      </c>
      <c r="E153" s="880" t="str">
        <f>'P4 Mill'!$C$33</f>
        <v>Yes</v>
      </c>
      <c r="F153" s="770"/>
      <c r="G153" s="790" t="str">
        <f>'P4 Mill'!$E$33</f>
        <v>COMPLIANT</v>
      </c>
      <c r="H153" s="952" t="str">
        <f>'P4 Mill'!$C$31</f>
        <v>Yes</v>
      </c>
      <c r="I153" s="483"/>
      <c r="J153" s="955"/>
      <c r="K153" s="51"/>
      <c r="L153" s="479"/>
      <c r="M153" s="21" t="str">
        <f t="shared" si="2"/>
        <v/>
      </c>
      <c r="N153" s="374" t="str">
        <f t="shared" si="3"/>
        <v>OOO</v>
      </c>
      <c r="O153" s="709"/>
      <c r="P153" s="709"/>
      <c r="Q153" s="709"/>
    </row>
    <row r="154" spans="1:17" s="692" customFormat="1" ht="40.5" customHeight="1" x14ac:dyDescent="0.25">
      <c r="A154" s="1262"/>
      <c r="B154" s="1298" t="s">
        <v>240</v>
      </c>
      <c r="C154" s="792" t="s">
        <v>331</v>
      </c>
      <c r="D154" s="855" t="str">
        <f>'P4 Mill'!$B$56</f>
        <v>Net water consumed per unit mass of product</v>
      </c>
      <c r="E154" s="875" t="e">
        <f>'P4 Mill'!$C$56</f>
        <v>#DIV/0!</v>
      </c>
      <c r="F154" s="770"/>
      <c r="G154" s="790" t="str">
        <f>'P4 Mill'!$E$56</f>
        <v/>
      </c>
      <c r="H154" s="1047" t="e">
        <f>'P4 Mill'!$C$36</f>
        <v>#DIV/0!</v>
      </c>
      <c r="I154" s="483"/>
      <c r="J154" s="955"/>
      <c r="K154" s="51"/>
      <c r="L154" s="479"/>
      <c r="M154" s="21" t="str">
        <f t="shared" si="2"/>
        <v/>
      </c>
      <c r="N154" s="374" t="str">
        <f t="shared" si="3"/>
        <v/>
      </c>
      <c r="O154" s="709"/>
      <c r="P154" s="709"/>
      <c r="Q154" s="709"/>
    </row>
    <row r="155" spans="1:17" s="692" customFormat="1" ht="40.5" x14ac:dyDescent="0.25">
      <c r="A155" s="1262"/>
      <c r="B155" s="1299" t="s">
        <v>240</v>
      </c>
      <c r="C155" s="912" t="s">
        <v>332</v>
      </c>
      <c r="D155" s="917" t="str">
        <f>'P4 Mill'!$B$70</f>
        <v xml:space="preserve"> Dissolved oxygen in effluent point</v>
      </c>
      <c r="E155" s="913" t="e">
        <f>'P4 Mill'!$C$70</f>
        <v>#DIV/0!</v>
      </c>
      <c r="F155" s="918"/>
      <c r="G155" s="914" t="e">
        <f>'P4 Mill'!$E$70</f>
        <v>#DIV/0!</v>
      </c>
      <c r="H155" s="963" t="str">
        <f>'P4 Mill'!$C$59</f>
        <v xml:space="preserve">&gt; 2.5 ppm or 1 kg COD/t product or 0.25 kg BOD/t product </v>
      </c>
      <c r="I155" s="484"/>
      <c r="J155" s="958"/>
      <c r="K155" s="51"/>
      <c r="L155" s="479"/>
      <c r="M155" s="21" t="e">
        <f t="shared" si="2"/>
        <v>#DIV/0!</v>
      </c>
      <c r="N155" s="374" t="str">
        <f t="shared" si="3"/>
        <v/>
      </c>
      <c r="O155" s="709"/>
      <c r="P155" s="709"/>
      <c r="Q155" s="709"/>
    </row>
    <row r="156" spans="1:17" s="692" customFormat="1" ht="40.5" x14ac:dyDescent="0.25">
      <c r="A156" s="1262"/>
      <c r="B156" s="1300" t="s">
        <v>236</v>
      </c>
      <c r="C156" s="967" t="s">
        <v>312</v>
      </c>
      <c r="D156" s="959" t="str">
        <f>'P4 Mill'!$B$79</f>
        <v>Management of storage facilities and safe handling of chemicals, fuel, lubricants and hazardous materials, with the objective of preventing negative impacts to biodiversity and ecosystems</v>
      </c>
      <c r="E156" s="1212">
        <f>'P4 Mill'!$C$79</f>
        <v>0</v>
      </c>
      <c r="F156" s="961" t="str">
        <f>'P4 Mill'!$D$79</f>
        <v>%</v>
      </c>
      <c r="G156" s="1048" t="str">
        <f>'P4 Mill'!$E$79</f>
        <v>NOT COMPLIANT</v>
      </c>
      <c r="H156" s="968">
        <f>'P4 Mill'!$C$73</f>
        <v>100</v>
      </c>
      <c r="I156" s="928" t="s">
        <v>313</v>
      </c>
      <c r="J156" s="923"/>
      <c r="K156" s="51"/>
      <c r="L156" s="479"/>
      <c r="M156" s="21" t="str">
        <f t="shared" si="2"/>
        <v>XXX</v>
      </c>
      <c r="N156" s="374" t="str">
        <f t="shared" si="3"/>
        <v/>
      </c>
      <c r="O156" s="709"/>
      <c r="P156" s="709"/>
      <c r="Q156" s="709"/>
    </row>
    <row r="157" spans="1:17" s="692" customFormat="1" ht="27.75" thickBot="1" x14ac:dyDescent="0.3">
      <c r="A157" s="1262"/>
      <c r="B157" s="1299" t="s">
        <v>240</v>
      </c>
      <c r="C157" s="912" t="s">
        <v>314</v>
      </c>
      <c r="D157" s="917" t="str">
        <f>'P4 Mill'!$B$87</f>
        <v xml:space="preserve">Specific training for handling and correct use of farm chemicals, fuel, hazardous materials, and record keeping of training and use. </v>
      </c>
      <c r="E157" s="913">
        <f>'P4 Mill'!$C$87</f>
        <v>100</v>
      </c>
      <c r="F157" s="918"/>
      <c r="G157" s="1029" t="str">
        <f>'P4 Mill'!$E$87</f>
        <v>COMPLIANT</v>
      </c>
      <c r="H157" s="963">
        <f>'P4 Mill'!$C$82</f>
        <v>100</v>
      </c>
      <c r="I157" s="484"/>
      <c r="J157" s="958"/>
      <c r="K157" s="480"/>
      <c r="L157" s="481"/>
      <c r="M157" s="21" t="str">
        <f t="shared" si="2"/>
        <v/>
      </c>
      <c r="N157" s="374" t="str">
        <f t="shared" si="3"/>
        <v/>
      </c>
      <c r="O157" s="709"/>
      <c r="P157" s="709"/>
      <c r="Q157" s="709"/>
    </row>
    <row r="158" spans="1:17" s="692" customFormat="1" ht="18.75" x14ac:dyDescent="0.3">
      <c r="A158" s="1262"/>
      <c r="B158" s="1298" t="s">
        <v>240</v>
      </c>
      <c r="C158" s="1180" t="str">
        <f>'P5 Mill'!A8</f>
        <v>Company Results 5.1.1</v>
      </c>
      <c r="D158" s="1180" t="str">
        <f>'P5 Mill'!B8</f>
        <v>Research and innovation plan in place</v>
      </c>
      <c r="E158" s="1181" t="str">
        <f>'P5 Mill'!C8</f>
        <v>Yes</v>
      </c>
      <c r="F158" s="1182"/>
      <c r="G158" s="1183" t="str">
        <f>'P5 Mill'!E8</f>
        <v>COMPLIANT</v>
      </c>
      <c r="H158" s="1184" t="str">
        <f>'P5 Mill'!C3</f>
        <v>Yes</v>
      </c>
      <c r="I158" s="1158" t="s">
        <v>315</v>
      </c>
      <c r="J158" s="923"/>
      <c r="K158" s="985" t="str">
        <f>'P5 Mill'!A1</f>
        <v>Principle 5.</v>
      </c>
      <c r="L158" s="479"/>
      <c r="M158" s="21" t="str">
        <f t="shared" si="2"/>
        <v/>
      </c>
      <c r="N158" s="374" t="str">
        <f t="shared" si="3"/>
        <v/>
      </c>
      <c r="O158" s="709"/>
      <c r="P158" s="709"/>
      <c r="Q158" s="709"/>
    </row>
    <row r="159" spans="1:17" s="692" customFormat="1" ht="18.75" x14ac:dyDescent="0.3">
      <c r="A159" s="1262"/>
      <c r="B159" s="1298" t="s">
        <v>240</v>
      </c>
      <c r="C159" s="775" t="str">
        <f>'P5 Mill'!A61</f>
        <v>Company Results 5.1.2</v>
      </c>
      <c r="D159" s="775" t="str">
        <f>'P5 Mill'!B61</f>
        <v xml:space="preserve">Value added per tonne cane  </v>
      </c>
      <c r="E159" s="1185" t="e">
        <f>'P5 Mill'!C61</f>
        <v>#DIV/0!</v>
      </c>
      <c r="F159" s="775" t="str">
        <f>'P5 Mill'!D61</f>
        <v>US $ / t cane</v>
      </c>
      <c r="G159" s="947" t="e">
        <f>'P5 Mill'!E61</f>
        <v>#DIV/0!</v>
      </c>
      <c r="H159" s="947" t="str">
        <f>'P5 Mill'!C11</f>
        <v>&gt;14</v>
      </c>
      <c r="I159" s="1159"/>
      <c r="J159" s="955"/>
      <c r="K159" s="985"/>
      <c r="L159" s="479"/>
      <c r="M159" s="21" t="e">
        <f t="shared" si="2"/>
        <v>#DIV/0!</v>
      </c>
      <c r="N159" s="374" t="str">
        <f t="shared" si="3"/>
        <v/>
      </c>
      <c r="O159" s="709"/>
      <c r="P159" s="709"/>
      <c r="Q159" s="709"/>
    </row>
    <row r="160" spans="1:17" ht="18.75" x14ac:dyDescent="0.3">
      <c r="A160" s="1262"/>
      <c r="B160" s="1298" t="s">
        <v>240</v>
      </c>
      <c r="C160" s="775" t="str">
        <f>'P5 Mill'!A69</f>
        <v>Company Results 5.1.3</v>
      </c>
      <c r="D160" s="775" t="str">
        <f>'P5 Mill'!B69</f>
        <v xml:space="preserve">Environmental and social impact Management Plans updated biannually </v>
      </c>
      <c r="E160" s="944">
        <f>'P5 Mill'!C69</f>
        <v>0</v>
      </c>
      <c r="F160" s="776"/>
      <c r="G160" s="947" t="str">
        <f>'P5 Mill'!E69</f>
        <v>NOT COMPLIANT</v>
      </c>
      <c r="H160" s="1226" t="str">
        <f>'P5 Mill'!C64</f>
        <v>&gt;=6 months</v>
      </c>
      <c r="I160" s="1159"/>
      <c r="J160" s="955"/>
      <c r="K160" s="985"/>
      <c r="L160" s="479"/>
      <c r="M160" s="21" t="str">
        <f t="shared" si="2"/>
        <v/>
      </c>
      <c r="N160" s="374" t="str">
        <f t="shared" si="3"/>
        <v/>
      </c>
      <c r="Q160" s="709"/>
    </row>
    <row r="161" spans="1:17" s="692" customFormat="1" ht="26.1" customHeight="1" x14ac:dyDescent="0.3">
      <c r="A161" s="1262"/>
      <c r="B161" s="1299" t="s">
        <v>240</v>
      </c>
      <c r="C161" s="1187" t="str">
        <f>'P5 Mill'!A77</f>
        <v>Company Results 5.1.4</v>
      </c>
      <c r="D161" s="1187" t="str">
        <f>'P5 Mill'!B77</f>
        <v xml:space="preserve"> Findings of business context analysis continuously addressed in a time-bound manner</v>
      </c>
      <c r="E161" s="1198" t="str">
        <f>'P5 Mill'!C77</f>
        <v>Yes</v>
      </c>
      <c r="F161" s="1188"/>
      <c r="G161" s="1189" t="str">
        <f>'P5 Mill'!E77</f>
        <v>COMPLIANT</v>
      </c>
      <c r="H161" s="1189" t="str">
        <f>'P5 Mill'!C72</f>
        <v>Yes</v>
      </c>
      <c r="I161" s="1227"/>
      <c r="J161" s="958"/>
      <c r="K161" s="985"/>
      <c r="L161" s="479"/>
      <c r="M161" s="21" t="str">
        <f t="shared" si="2"/>
        <v/>
      </c>
      <c r="N161" s="374" t="str">
        <f t="shared" si="3"/>
        <v/>
      </c>
      <c r="O161" s="709"/>
      <c r="P161" s="709"/>
      <c r="Q161" s="709"/>
    </row>
    <row r="162" spans="1:17" s="692" customFormat="1" ht="34.5" customHeight="1" x14ac:dyDescent="0.3">
      <c r="A162" s="1262"/>
      <c r="B162" s="1298" t="s">
        <v>240</v>
      </c>
      <c r="C162" s="775" t="str">
        <f>'P5 Mill'!A95</f>
        <v>Company Results 5.2.1</v>
      </c>
      <c r="D162" s="775" t="str">
        <f>'P5 Mill'!B95</f>
        <v xml:space="preserve">Operators have a documented monitoring and evaluation system for ambient air quality in nearest populations/communities </v>
      </c>
      <c r="E162" s="944" t="str">
        <f>'P5 Mill'!C95</f>
        <v>No</v>
      </c>
      <c r="F162" s="776"/>
      <c r="G162" s="947" t="str">
        <f>'P5 Mill'!E95</f>
        <v>NOT COMPLIANT</v>
      </c>
      <c r="H162" s="947" t="str">
        <f>'P5 Mill'!C87</f>
        <v>Yes</v>
      </c>
      <c r="I162" s="1157" t="s">
        <v>316</v>
      </c>
      <c r="J162" s="955"/>
      <c r="K162" s="985"/>
      <c r="L162" s="479"/>
      <c r="M162" s="21" t="str">
        <f t="shared" si="2"/>
        <v/>
      </c>
      <c r="N162" s="374" t="str">
        <f t="shared" si="3"/>
        <v/>
      </c>
      <c r="O162" s="709"/>
      <c r="P162" s="709"/>
      <c r="Q162" s="709"/>
    </row>
    <row r="163" spans="1:17" s="692" customFormat="1" ht="27" x14ac:dyDescent="0.3">
      <c r="A163" s="1262"/>
      <c r="B163" s="1298" t="s">
        <v>240</v>
      </c>
      <c r="C163" s="775" t="str">
        <f>'P5 Mill'!A103</f>
        <v>Company Results 5.2.2</v>
      </c>
      <c r="D163" s="775" t="str">
        <f>'P5 Mill'!B103</f>
        <v xml:space="preserve">Fugitive and point-source air emissions align with Best Available Technology and established safety/ environmental parameters  </v>
      </c>
      <c r="E163" s="944" t="str">
        <f>'P5 Mill'!C103</f>
        <v>Yes</v>
      </c>
      <c r="F163" s="776"/>
      <c r="G163" s="947" t="str">
        <f>'P5 Mill'!E103</f>
        <v>COMPLIANT</v>
      </c>
      <c r="H163" s="947" t="str">
        <f>'P5 Mill'!C98</f>
        <v>Yes</v>
      </c>
      <c r="I163" s="1157"/>
      <c r="J163" s="955"/>
      <c r="K163" s="985"/>
      <c r="L163" s="479"/>
      <c r="M163" s="21" t="str">
        <f t="shared" si="2"/>
        <v/>
      </c>
      <c r="N163" s="374" t="str">
        <f t="shared" si="3"/>
        <v/>
      </c>
      <c r="O163" s="709"/>
      <c r="P163" s="709"/>
      <c r="Q163" s="709"/>
    </row>
    <row r="164" spans="1:17" s="692" customFormat="1" ht="18.75" x14ac:dyDescent="0.3">
      <c r="A164" s="1262"/>
      <c r="B164" s="1298" t="s">
        <v>240</v>
      </c>
      <c r="C164" s="1187" t="str">
        <f>'P5 Mill'!A108</f>
        <v>Company Results 5.2.3</v>
      </c>
      <c r="D164" s="1187" t="str">
        <f>'P5 Mill'!B108</f>
        <v>% ofNon-production waste plan for safely recycled or disposal</v>
      </c>
      <c r="E164" s="1198">
        <f>'P5 Mill'!C108</f>
        <v>0</v>
      </c>
      <c r="F164" s="1188" t="str">
        <f>'P5 Mill'!D108</f>
        <v>%</v>
      </c>
      <c r="G164" s="1189" t="str">
        <f>'P5 Mill'!E108</f>
        <v>NOT COMPLIANT</v>
      </c>
      <c r="H164" s="1189" t="str">
        <f>'P5 Mill'!C106</f>
        <v>&gt;= 50</v>
      </c>
      <c r="I164" s="1199"/>
      <c r="J164" s="958"/>
      <c r="K164" s="985"/>
      <c r="L164" s="479"/>
      <c r="M164" s="21" t="str">
        <f t="shared" si="2"/>
        <v/>
      </c>
      <c r="N164" s="374" t="str">
        <f t="shared" si="3"/>
        <v/>
      </c>
      <c r="O164" s="709"/>
      <c r="P164" s="709"/>
      <c r="Q164" s="709"/>
    </row>
    <row r="165" spans="1:17" s="692" customFormat="1" ht="18.75" x14ac:dyDescent="0.3">
      <c r="A165" s="1262"/>
      <c r="B165" s="1301" t="s">
        <v>240</v>
      </c>
      <c r="C165" s="1332" t="str">
        <f>'P5 Mill'!A117</f>
        <v>Company Results 5.3.1</v>
      </c>
      <c r="D165" s="1333" t="str">
        <f>'P5 Mill'!B117</f>
        <v xml:space="preserve">Time spent by workers in vocational training sessions   </v>
      </c>
      <c r="E165" s="1334" t="str">
        <f>'P5 Mill'!C117</f>
        <v/>
      </c>
      <c r="F165" s="1335" t="str">
        <f>'P5 Mill'!D117</f>
        <v>hours /  employee</v>
      </c>
      <c r="G165" s="1336" t="str">
        <f>'P5 Mill'!E117</f>
        <v>COMPLIANT</v>
      </c>
      <c r="H165" s="1336" t="str">
        <f>'P5 Mill'!C111</f>
        <v>&gt;=16</v>
      </c>
      <c r="I165" s="1337" t="s">
        <v>317</v>
      </c>
      <c r="J165" s="1402"/>
      <c r="K165" s="985"/>
      <c r="L165" s="479"/>
      <c r="M165" s="21" t="str">
        <f t="shared" ref="M165:M177" si="4">IF(AND(B165= "Core", G165="NOT COMPLIANT"),"XXX","")</f>
        <v/>
      </c>
      <c r="N165" s="374" t="str">
        <f t="shared" si="3"/>
        <v/>
      </c>
      <c r="O165" s="709"/>
      <c r="P165" s="709"/>
      <c r="Q165" s="709"/>
    </row>
    <row r="166" spans="1:17" s="692" customFormat="1" ht="15.75" thickBot="1" x14ac:dyDescent="0.3">
      <c r="A166" s="1268"/>
      <c r="B166" s="1302" t="s">
        <v>240</v>
      </c>
      <c r="C166" s="1313" t="str">
        <f>'P5 Mill'!A126</f>
        <v>Company Results 5.4.3</v>
      </c>
      <c r="D166" s="1314" t="str">
        <f>'P5 Mill'!B126</f>
        <v>Gender inclusion in management and technical positions</v>
      </c>
      <c r="E166" s="1315" t="e">
        <f>'P5 Mill'!C126</f>
        <v>#DIV/0!</v>
      </c>
      <c r="F166" s="1316"/>
      <c r="G166" s="1396" t="e">
        <f>'P5 Mill'!E126</f>
        <v>#DIV/0!</v>
      </c>
      <c r="H166" s="1317">
        <f>'P5 Mill'!C120</f>
        <v>15</v>
      </c>
      <c r="I166" s="1204" t="s">
        <v>318</v>
      </c>
      <c r="J166" s="957"/>
      <c r="K166" s="480"/>
      <c r="L166" s="481"/>
      <c r="M166" s="21" t="e">
        <f t="shared" si="4"/>
        <v>#DIV/0!</v>
      </c>
      <c r="N166" s="374" t="str">
        <f t="shared" si="3"/>
        <v/>
      </c>
      <c r="O166" s="709"/>
      <c r="P166" s="709"/>
      <c r="Q166" s="709"/>
    </row>
    <row r="167" spans="1:17" s="692" customFormat="1" ht="26.1" customHeight="1" x14ac:dyDescent="0.35">
      <c r="A167" s="1340" t="s">
        <v>333</v>
      </c>
      <c r="B167" s="1299" t="s">
        <v>236</v>
      </c>
      <c r="C167" s="1382" t="str">
        <f>'Whole supply area'!A5</f>
        <v xml:space="preserve">Company Results 1.1.1 </v>
      </c>
      <c r="D167" s="1382" t="str">
        <f>'Whole supply area'!B5</f>
        <v>Sustainability policy in place</v>
      </c>
      <c r="E167" s="1386" t="str">
        <f>'Whole supply area'!C5</f>
        <v>Yes</v>
      </c>
      <c r="F167" s="1382"/>
      <c r="G167" s="1397" t="str">
        <f>'Whole supply area'!E5</f>
        <v>COMPLIANT</v>
      </c>
      <c r="H167" s="1387" t="str">
        <f>'Whole supply area'!C3</f>
        <v>Yes</v>
      </c>
      <c r="I167" s="1276" t="s">
        <v>237</v>
      </c>
      <c r="J167" s="1403"/>
      <c r="K167" s="51"/>
      <c r="L167" s="1341"/>
      <c r="M167" s="21" t="str">
        <f t="shared" si="4"/>
        <v/>
      </c>
      <c r="N167" s="374" t="e">
        <f t="shared" si="3"/>
        <v>#DIV/0!</v>
      </c>
      <c r="O167" s="709"/>
      <c r="P167" s="709"/>
      <c r="Q167" s="709"/>
    </row>
    <row r="168" spans="1:17" s="692" customFormat="1" ht="15.75" x14ac:dyDescent="0.3">
      <c r="B168" s="1301" t="s">
        <v>236</v>
      </c>
      <c r="C168" s="1383" t="str">
        <f>'Whole supply area'!A10</f>
        <v xml:space="preserve">Company Results 1.2.2 </v>
      </c>
      <c r="D168" s="1383" t="str">
        <f>'Whole supply area'!B10</f>
        <v>Risk and Impact Assessment are conducted</v>
      </c>
      <c r="E168" s="1388" t="str">
        <f>'Whole supply area'!C10</f>
        <v>Yes</v>
      </c>
      <c r="F168" s="1383"/>
      <c r="G168" s="1398" t="str">
        <f>'Whole supply area'!E10</f>
        <v>COMPLIANT</v>
      </c>
      <c r="H168" s="1389" t="str">
        <f>'Whole supply area'!C8</f>
        <v>Yes</v>
      </c>
      <c r="I168" s="1406" t="s">
        <v>238</v>
      </c>
      <c r="J168" s="479"/>
      <c r="K168" s="51"/>
      <c r="L168" s="479"/>
      <c r="M168" s="21" t="str">
        <f t="shared" si="4"/>
        <v/>
      </c>
      <c r="N168" s="374" t="str">
        <f t="shared" si="3"/>
        <v/>
      </c>
      <c r="O168" s="709"/>
      <c r="P168" s="709"/>
      <c r="Q168" s="709"/>
    </row>
    <row r="169" spans="1:17" s="692" customFormat="1" ht="15.75" x14ac:dyDescent="0.3">
      <c r="B169" s="1298" t="s">
        <v>236</v>
      </c>
      <c r="C169" s="135" t="str">
        <f>'Whole supply area'!A15</f>
        <v xml:space="preserve">Company Results 1.3.1 </v>
      </c>
      <c r="D169" s="135" t="str">
        <f>'Whole supply area'!B15</f>
        <v>Management Plans are developed and Implemented</v>
      </c>
      <c r="E169" s="1390" t="str">
        <f>'Whole supply area'!C15</f>
        <v>Yes</v>
      </c>
      <c r="F169" s="135"/>
      <c r="G169" s="1399" t="str">
        <f>'Whole supply area'!E15</f>
        <v>COMPLIANT</v>
      </c>
      <c r="H169" s="1391" t="str">
        <f>'Whole supply area'!C13</f>
        <v>Yes</v>
      </c>
      <c r="I169" s="1406" t="s">
        <v>239</v>
      </c>
      <c r="J169" s="1404"/>
      <c r="K169" s="51"/>
      <c r="L169" s="479"/>
      <c r="M169" s="21" t="str">
        <f t="shared" si="4"/>
        <v/>
      </c>
      <c r="N169" s="374" t="str">
        <f t="shared" si="3"/>
        <v/>
      </c>
      <c r="O169" s="709"/>
      <c r="P169" s="709"/>
      <c r="Q169" s="709"/>
    </row>
    <row r="170" spans="1:17" s="692" customFormat="1" ht="15.75" x14ac:dyDescent="0.3">
      <c r="B170" s="1301" t="s">
        <v>240</v>
      </c>
      <c r="C170" s="1383" t="str">
        <f>'Whole supply area'!A22</f>
        <v>Company Results 1.4.1</v>
      </c>
      <c r="D170" s="1383" t="str">
        <f>'Whole supply area'!B22</f>
        <v>Monitoring mechanisms are in place to ensure that corrective actions are implemented, and management review conducted</v>
      </c>
      <c r="E170" s="1388" t="str">
        <f>'Whole supply area'!C22</f>
        <v>Yes</v>
      </c>
      <c r="F170" s="1383"/>
      <c r="G170" s="1398" t="str">
        <f>'Whole supply area'!E22</f>
        <v>COMPLIANT</v>
      </c>
      <c r="H170" s="1389" t="str">
        <f>'Whole supply area'!C22</f>
        <v>Yes</v>
      </c>
      <c r="I170" s="1406" t="s">
        <v>241</v>
      </c>
      <c r="J170" s="938"/>
      <c r="K170" s="51"/>
      <c r="L170" s="479"/>
      <c r="M170" s="21" t="str">
        <f t="shared" si="4"/>
        <v/>
      </c>
      <c r="N170" s="374" t="str">
        <f t="shared" si="3"/>
        <v/>
      </c>
      <c r="O170" s="709"/>
      <c r="P170" s="709"/>
      <c r="Q170" s="709"/>
    </row>
    <row r="171" spans="1:17" s="692" customFormat="1" ht="15.75" x14ac:dyDescent="0.3">
      <c r="B171" s="1301" t="s">
        <v>236</v>
      </c>
      <c r="C171" s="1383" t="str">
        <f>'Whole supply area'!A27</f>
        <v>Company Results 2.4.3</v>
      </c>
      <c r="D171" s="1383" t="str">
        <f>'Whole supply area'!B27</f>
        <v>Grievance mechanism for workers in place</v>
      </c>
      <c r="E171" s="1388" t="str">
        <f>'Whole supply area'!C27</f>
        <v>Yes</v>
      </c>
      <c r="F171" s="1383"/>
      <c r="G171" s="1398" t="str">
        <f>'Whole supply area'!E27</f>
        <v>COMPLIANT</v>
      </c>
      <c r="H171" s="1389" t="str">
        <f>'Whole supply area'!C25</f>
        <v>Yes</v>
      </c>
      <c r="I171" s="1406" t="s">
        <v>271</v>
      </c>
      <c r="J171" s="938"/>
      <c r="K171" s="51"/>
      <c r="L171" s="479"/>
      <c r="M171" s="21" t="str">
        <f t="shared" si="4"/>
        <v/>
      </c>
      <c r="N171" s="374" t="str">
        <f t="shared" si="3"/>
        <v/>
      </c>
      <c r="O171" s="709"/>
      <c r="P171" s="709"/>
      <c r="Q171" s="709"/>
    </row>
    <row r="172" spans="1:17" ht="29.45" customHeight="1" x14ac:dyDescent="0.3">
      <c r="A172" s="692"/>
      <c r="B172" s="1301" t="s">
        <v>236</v>
      </c>
      <c r="C172" s="1383" t="str">
        <f>'Whole supply area'!A35</f>
        <v>Company Results 4.1.4</v>
      </c>
      <c r="D172" s="1385" t="str">
        <f>'Whole supply area'!B35</f>
        <v>Across the whole cane supplying area future expansion is conducted in non-HCV areas.</v>
      </c>
      <c r="E172" s="1392" t="str">
        <f>'Whole supply area'!C35</f>
        <v/>
      </c>
      <c r="F172" s="1383"/>
      <c r="G172" s="1398" t="str">
        <f>'Whole supply area'!E35</f>
        <v/>
      </c>
      <c r="H172" s="1389" t="str">
        <f>'Whole supply area'!C30</f>
        <v>Yes</v>
      </c>
      <c r="I172" s="1406" t="s">
        <v>289</v>
      </c>
      <c r="J172" s="938"/>
      <c r="K172" s="51"/>
      <c r="L172" s="479"/>
      <c r="M172" s="21" t="str">
        <f t="shared" si="4"/>
        <v/>
      </c>
      <c r="N172" s="374" t="str">
        <f t="shared" si="3"/>
        <v/>
      </c>
      <c r="Q172" s="709"/>
    </row>
    <row r="173" spans="1:17" s="692" customFormat="1" ht="40.5" x14ac:dyDescent="0.25">
      <c r="B173" s="1301" t="s">
        <v>236</v>
      </c>
      <c r="C173" s="1383" t="str">
        <f>'Whole supply area'!A44</f>
        <v xml:space="preserve">Company Results 4.3.1 </v>
      </c>
      <c r="D173" s="1385" t="str">
        <f>'Whole supply area'!B44</f>
        <v>Identify main water resources, the basin, sub-basin or micro-basin where the water resource is provided and determine an action plan to contribute to its sustainability and setting objectives for water stewardship</v>
      </c>
      <c r="E173" s="1392" t="str">
        <f>'Whole supply area'!C44</f>
        <v>Yes</v>
      </c>
      <c r="F173" s="1383"/>
      <c r="G173" s="1398" t="str">
        <f>'Whole supply area'!E44</f>
        <v>COMPLIANT</v>
      </c>
      <c r="H173" s="1393" t="str">
        <f>'Whole supply area'!C44</f>
        <v>Yes</v>
      </c>
      <c r="I173" s="1407" t="s">
        <v>302</v>
      </c>
      <c r="J173" s="1405"/>
      <c r="K173" s="51"/>
      <c r="L173" s="479"/>
      <c r="M173" s="21" t="str">
        <f t="shared" si="4"/>
        <v/>
      </c>
      <c r="N173" s="374" t="str">
        <f t="shared" si="3"/>
        <v/>
      </c>
      <c r="O173" s="709"/>
      <c r="P173" s="709"/>
      <c r="Q173" s="709"/>
    </row>
    <row r="174" spans="1:17" s="692" customFormat="1" x14ac:dyDescent="0.25">
      <c r="B174" s="1301" t="s">
        <v>240</v>
      </c>
      <c r="C174" s="1383" t="str">
        <f>'Whole supply area'!A55</f>
        <v xml:space="preserve">Company Results 4.3.2 </v>
      </c>
      <c r="D174" s="1383" t="str">
        <f>'Whole supply area'!B55</f>
        <v>Mapping of land/water titles &amp; claims is conducted</v>
      </c>
      <c r="E174" s="1392" t="str">
        <f>'Whole supply area'!C55</f>
        <v>Yes</v>
      </c>
      <c r="F174" s="1383"/>
      <c r="G174" s="1398" t="str">
        <f>'Whole supply area'!E55</f>
        <v>COMPLIANT</v>
      </c>
      <c r="H174" s="1389" t="str">
        <f>'Whole supply area'!C47</f>
        <v>Yes</v>
      </c>
      <c r="I174" s="1408"/>
      <c r="J174" s="938"/>
      <c r="K174" s="51"/>
      <c r="L174" s="479"/>
      <c r="M174" s="21" t="str">
        <f t="shared" si="4"/>
        <v/>
      </c>
      <c r="N174" s="374" t="e">
        <f t="shared" si="3"/>
        <v>#DIV/0!</v>
      </c>
      <c r="O174" s="709"/>
      <c r="P174" s="709"/>
      <c r="Q174" s="709"/>
    </row>
    <row r="175" spans="1:17" s="692" customFormat="1" ht="15.75" x14ac:dyDescent="0.3">
      <c r="B175" s="1301" t="s">
        <v>236</v>
      </c>
      <c r="C175" s="1383" t="str">
        <f>'Whole supply area'!A65</f>
        <v>Company Results 4.4.1</v>
      </c>
      <c r="D175" s="1383" t="str">
        <f>'Whole supply area'!B65</f>
        <v>Identification and monitoring of current, historical and potential pests and diseases</v>
      </c>
      <c r="E175" s="1392" t="e">
        <f>'Whole supply area'!C65</f>
        <v>#DIV/0!</v>
      </c>
      <c r="F175" s="1383"/>
      <c r="G175" s="1400" t="e">
        <f>'Whole supply area'!E65</f>
        <v>#DIV/0!</v>
      </c>
      <c r="H175" s="1387" t="str">
        <f>'Whole supply area'!C58</f>
        <v>&gt;80</v>
      </c>
      <c r="I175" s="1409" t="s">
        <v>307</v>
      </c>
      <c r="J175" s="1405"/>
      <c r="K175" s="51"/>
      <c r="L175" s="479"/>
      <c r="M175" s="21" t="e">
        <f t="shared" si="4"/>
        <v>#DIV/0!</v>
      </c>
      <c r="N175" s="374" t="str">
        <f t="shared" si="3"/>
        <v/>
      </c>
      <c r="O175" s="709"/>
      <c r="P175" s="709"/>
      <c r="Q175" s="709"/>
    </row>
    <row r="176" spans="1:17" s="692" customFormat="1" ht="15.75" x14ac:dyDescent="0.3">
      <c r="B176" s="1301" t="s">
        <v>240</v>
      </c>
      <c r="C176" s="1383" t="str">
        <f>'Whole supply area'!A73</f>
        <v xml:space="preserve">Company Results 5.4.1 </v>
      </c>
      <c r="D176" s="1383" t="str">
        <f>'Whole supply area'!B73</f>
        <v>Occupational health and safety is promoted in the whole cane supply area</v>
      </c>
      <c r="E176" s="1392" t="str">
        <f>'Whole supply area'!C73</f>
        <v>Yes</v>
      </c>
      <c r="F176" s="1383"/>
      <c r="G176" s="1398" t="str">
        <f>'Whole supply area'!E73</f>
        <v>COMPLIANT</v>
      </c>
      <c r="H176" s="1389" t="str">
        <f>'Whole supply area'!C68</f>
        <v>Yes</v>
      </c>
      <c r="I176" s="1410" t="s">
        <v>318</v>
      </c>
      <c r="J176" s="1405"/>
      <c r="K176" s="51"/>
      <c r="L176" s="479"/>
      <c r="M176" s="21" t="str">
        <f t="shared" si="4"/>
        <v/>
      </c>
      <c r="N176" s="374" t="str">
        <f t="shared" si="3"/>
        <v/>
      </c>
      <c r="O176" s="709"/>
      <c r="P176" s="709"/>
      <c r="Q176" s="709"/>
    </row>
    <row r="177" spans="1:17" s="692" customFormat="1" ht="16.5" thickBot="1" x14ac:dyDescent="0.35">
      <c r="A177" s="1342"/>
      <c r="B177" s="1343" t="s">
        <v>240</v>
      </c>
      <c r="C177" s="1384" t="str">
        <f>'Whole supply area'!A81</f>
        <v xml:space="preserve">Company Results 5.4.2 </v>
      </c>
      <c r="D177" s="1344" t="str">
        <f>'Whole supply area'!B81</f>
        <v>Safe worker accommodation in cane supplier area</v>
      </c>
      <c r="E177" s="1394" t="str">
        <f>'Whole supply area'!C81</f>
        <v>Yes</v>
      </c>
      <c r="F177" s="1384"/>
      <c r="G177" s="1401" t="str">
        <f>'Whole supply area'!E81</f>
        <v>COMPLIANT</v>
      </c>
      <c r="H177" s="1395" t="str">
        <f>'Whole supply area'!C76</f>
        <v>Yes</v>
      </c>
      <c r="I177" s="1345"/>
      <c r="J177" s="481"/>
      <c r="K177" s="1342"/>
      <c r="L177" s="481"/>
      <c r="M177" s="21" t="str">
        <f t="shared" si="4"/>
        <v/>
      </c>
      <c r="N177" s="374" t="str">
        <f t="shared" si="3"/>
        <v/>
      </c>
      <c r="O177" s="709"/>
      <c r="P177" s="709"/>
      <c r="Q177" s="709"/>
    </row>
    <row r="178" spans="1:17" s="692" customFormat="1" x14ac:dyDescent="0.25">
      <c r="A178" s="478"/>
      <c r="C178" s="34"/>
      <c r="D178" s="32"/>
      <c r="E178" s="571"/>
      <c r="F178" s="710"/>
      <c r="G178" s="33"/>
      <c r="H178" s="33"/>
      <c r="I178" s="483"/>
      <c r="J178" s="483"/>
      <c r="K178" s="51"/>
      <c r="L178" s="51"/>
      <c r="N178" s="374" t="str">
        <f t="shared" si="3"/>
        <v/>
      </c>
      <c r="O178" s="709"/>
      <c r="P178" s="709"/>
      <c r="Q178" s="709"/>
    </row>
    <row r="179" spans="1:17" s="692" customFormat="1" x14ac:dyDescent="0.25">
      <c r="A179" s="478"/>
      <c r="C179" s="34"/>
      <c r="D179" s="32"/>
      <c r="E179" s="468"/>
      <c r="F179" s="710"/>
      <c r="G179" s="33"/>
      <c r="H179" s="33"/>
      <c r="I179" s="483"/>
      <c r="J179" s="483"/>
      <c r="K179" s="51"/>
      <c r="L179" s="51"/>
      <c r="M179" s="21"/>
      <c r="N179" s="374" t="str">
        <f t="shared" si="3"/>
        <v/>
      </c>
      <c r="O179" s="709"/>
      <c r="P179" s="709"/>
      <c r="Q179" s="709"/>
    </row>
    <row r="180" spans="1:17" s="692" customFormat="1" ht="30.95" customHeight="1" x14ac:dyDescent="0.25">
      <c r="A180" s="478"/>
      <c r="C180" s="34"/>
      <c r="D180" s="32"/>
      <c r="E180" s="468"/>
      <c r="F180" s="710"/>
      <c r="G180" s="33"/>
      <c r="H180" s="33"/>
      <c r="I180" s="483"/>
      <c r="J180" s="483"/>
      <c r="K180" s="51"/>
      <c r="L180" s="51"/>
      <c r="N180" s="374" t="e">
        <f t="shared" si="3"/>
        <v>#DIV/0!</v>
      </c>
      <c r="O180" s="709"/>
      <c r="P180" s="709"/>
      <c r="Q180" s="709"/>
    </row>
    <row r="181" spans="1:17" s="692" customFormat="1" x14ac:dyDescent="0.25">
      <c r="A181" s="478"/>
      <c r="C181" s="34"/>
      <c r="D181" s="32"/>
      <c r="E181" s="468"/>
      <c r="F181" s="710"/>
      <c r="G181" s="33"/>
      <c r="H181" s="33"/>
      <c r="I181" s="483"/>
      <c r="J181" s="483"/>
      <c r="K181" s="51"/>
      <c r="L181" s="51"/>
      <c r="M181" s="374"/>
      <c r="N181" s="374" t="str">
        <f t="shared" si="3"/>
        <v/>
      </c>
      <c r="O181" s="709"/>
      <c r="P181" s="709"/>
      <c r="Q181" s="709"/>
    </row>
    <row r="182" spans="1:17" s="692" customFormat="1" ht="18" x14ac:dyDescent="0.25">
      <c r="A182" s="478"/>
      <c r="C182" s="34"/>
      <c r="D182" s="32"/>
      <c r="E182" s="1246"/>
      <c r="F182" s="710"/>
      <c r="G182" s="33"/>
      <c r="H182" s="33"/>
      <c r="I182" s="364"/>
      <c r="J182" s="922"/>
      <c r="K182" s="51"/>
      <c r="L182" s="51"/>
      <c r="M182" s="375"/>
      <c r="N182" s="374" t="str">
        <f t="shared" si="3"/>
        <v/>
      </c>
      <c r="O182" s="709"/>
      <c r="P182" s="709"/>
      <c r="Q182" s="709"/>
    </row>
    <row r="183" spans="1:17" s="692" customFormat="1" ht="18" x14ac:dyDescent="0.25">
      <c r="A183" s="478"/>
      <c r="C183" s="34"/>
      <c r="D183" s="32"/>
      <c r="E183" s="571"/>
      <c r="F183" s="710"/>
      <c r="G183" s="33"/>
      <c r="H183" s="33"/>
      <c r="I183" s="892"/>
      <c r="J183" s="892"/>
      <c r="K183" s="14"/>
      <c r="L183" s="14"/>
      <c r="M183" s="375"/>
      <c r="N183" s="374" t="str">
        <f t="shared" si="3"/>
        <v/>
      </c>
      <c r="O183" s="709"/>
      <c r="P183" s="709"/>
      <c r="Q183" s="709"/>
    </row>
    <row r="184" spans="1:17" s="692" customFormat="1" ht="23.1" customHeight="1" x14ac:dyDescent="0.25">
      <c r="A184" s="51"/>
      <c r="C184" s="34"/>
      <c r="D184" s="32"/>
      <c r="E184" s="571"/>
      <c r="F184" s="450"/>
      <c r="G184" s="33"/>
      <c r="H184" s="33"/>
      <c r="I184" s="483"/>
      <c r="J184" s="483"/>
      <c r="K184" s="51"/>
      <c r="L184" s="51"/>
      <c r="M184" s="374"/>
      <c r="N184" s="374" t="e">
        <f t="shared" si="3"/>
        <v>#DIV/0!</v>
      </c>
      <c r="O184" s="709"/>
      <c r="P184" s="709"/>
      <c r="Q184" s="709"/>
    </row>
    <row r="185" spans="1:17" s="692" customFormat="1" ht="18" x14ac:dyDescent="0.25">
      <c r="A185" s="51"/>
      <c r="C185" s="308"/>
      <c r="D185" s="587"/>
      <c r="E185" s="450"/>
      <c r="F185" s="21"/>
      <c r="G185" s="21"/>
      <c r="H185" s="483"/>
      <c r="I185" s="483"/>
      <c r="J185" s="51"/>
      <c r="K185" s="51"/>
      <c r="M185" s="375"/>
      <c r="N185" s="374" t="str">
        <f t="shared" si="3"/>
        <v>OOO</v>
      </c>
      <c r="O185" s="709"/>
      <c r="P185" s="709"/>
      <c r="Q185" s="709"/>
    </row>
    <row r="186" spans="1:17" s="692" customFormat="1" ht="18" x14ac:dyDescent="0.25">
      <c r="A186" s="51"/>
      <c r="C186" s="308"/>
      <c r="D186" s="587"/>
      <c r="E186" s="450"/>
      <c r="F186" s="21"/>
      <c r="G186" s="21"/>
      <c r="H186" s="483"/>
      <c r="I186" s="483"/>
      <c r="J186" s="51"/>
      <c r="K186" s="51"/>
      <c r="M186" s="375"/>
      <c r="N186" s="374" t="str">
        <f t="shared" si="3"/>
        <v/>
      </c>
      <c r="O186" s="709"/>
      <c r="P186" s="709"/>
      <c r="Q186" s="709"/>
    </row>
    <row r="187" spans="1:17" s="692" customFormat="1" x14ac:dyDescent="0.25">
      <c r="A187" s="51"/>
      <c r="C187" s="308"/>
      <c r="D187" s="587"/>
      <c r="E187" s="450"/>
      <c r="F187" s="21"/>
      <c r="G187" s="21"/>
      <c r="H187" s="483"/>
      <c r="I187" s="483"/>
      <c r="J187" s="51"/>
      <c r="K187" s="51"/>
      <c r="M187" s="374"/>
      <c r="N187" s="374" t="str">
        <f t="shared" si="3"/>
        <v>OOO</v>
      </c>
      <c r="O187" s="709"/>
      <c r="P187" s="709"/>
      <c r="Q187" s="709"/>
    </row>
    <row r="188" spans="1:17" s="692" customFormat="1" x14ac:dyDescent="0.25">
      <c r="A188" s="51"/>
      <c r="C188" s="308"/>
      <c r="D188" s="587"/>
      <c r="E188" s="450"/>
      <c r="F188" s="21"/>
      <c r="G188" s="21"/>
      <c r="H188" s="483"/>
      <c r="I188" s="483"/>
      <c r="J188" s="51"/>
      <c r="K188" s="51"/>
      <c r="M188" s="374"/>
      <c r="N188" s="374" t="str">
        <f t="shared" si="3"/>
        <v/>
      </c>
      <c r="O188" s="709"/>
      <c r="P188" s="709"/>
      <c r="Q188" s="709"/>
    </row>
    <row r="189" spans="1:17" s="692" customFormat="1" x14ac:dyDescent="0.25">
      <c r="A189" s="948"/>
      <c r="C189" s="308"/>
      <c r="D189" s="587"/>
      <c r="E189" s="450"/>
      <c r="F189" s="21"/>
      <c r="G189" s="21"/>
      <c r="H189" s="483"/>
      <c r="I189" s="483"/>
      <c r="J189" s="51"/>
      <c r="K189" s="51"/>
      <c r="M189" s="374"/>
      <c r="N189" s="374" t="str">
        <f t="shared" si="3"/>
        <v>OOO</v>
      </c>
      <c r="O189" s="709"/>
      <c r="P189" s="709"/>
      <c r="Q189" s="709"/>
    </row>
    <row r="190" spans="1:17" x14ac:dyDescent="0.25">
      <c r="A190" s="948"/>
      <c r="B190" s="692"/>
      <c r="H190" s="364"/>
      <c r="I190" s="942"/>
      <c r="J190" s="51"/>
      <c r="K190" s="51"/>
      <c r="L190" s="692"/>
      <c r="M190" s="374"/>
      <c r="N190" s="374" t="str">
        <f t="shared" ref="N190:N202" si="5">IF(AND(B165= "Non-core", G165="NOT COMPLIANT"),"OOO","")</f>
        <v/>
      </c>
      <c r="Q190" s="709"/>
    </row>
    <row r="191" spans="1:17" ht="18.75" x14ac:dyDescent="0.25">
      <c r="A191" s="948"/>
      <c r="B191" s="692"/>
      <c r="C191" s="953"/>
      <c r="H191" s="364"/>
      <c r="I191" s="942"/>
      <c r="J191" s="975"/>
      <c r="K191" s="976"/>
      <c r="L191" s="692"/>
      <c r="M191" s="374"/>
      <c r="N191" s="374" t="e">
        <f t="shared" si="5"/>
        <v>#DIV/0!</v>
      </c>
      <c r="Q191" s="709"/>
    </row>
    <row r="192" spans="1:17" x14ac:dyDescent="0.25">
      <c r="A192" s="51"/>
      <c r="B192" s="692"/>
      <c r="H192" s="483"/>
      <c r="I192" s="483"/>
      <c r="J192" s="51"/>
      <c r="K192" s="51"/>
      <c r="L192" s="692"/>
      <c r="M192" s="374"/>
      <c r="N192" s="374" t="str">
        <f t="shared" si="5"/>
        <v/>
      </c>
      <c r="Q192" s="709"/>
    </row>
    <row r="193" spans="1:17" s="692" customFormat="1" ht="18" x14ac:dyDescent="0.25">
      <c r="A193" s="51"/>
      <c r="C193" s="308"/>
      <c r="D193" s="587"/>
      <c r="E193" s="450"/>
      <c r="F193" s="21"/>
      <c r="G193" s="21"/>
      <c r="H193" s="483"/>
      <c r="I193" s="483"/>
      <c r="J193" s="51"/>
      <c r="K193" s="51"/>
      <c r="M193" s="375"/>
      <c r="N193" s="374" t="str">
        <f t="shared" si="5"/>
        <v/>
      </c>
      <c r="O193" s="709"/>
      <c r="P193" s="709"/>
      <c r="Q193" s="709"/>
    </row>
    <row r="194" spans="1:17" s="692" customFormat="1" ht="18" x14ac:dyDescent="0.25">
      <c r="A194" s="51"/>
      <c r="C194" s="308"/>
      <c r="D194" s="587"/>
      <c r="E194" s="450"/>
      <c r="F194" s="21"/>
      <c r="G194" s="21"/>
      <c r="H194" s="483"/>
      <c r="I194" s="483"/>
      <c r="J194" s="51"/>
      <c r="K194" s="51"/>
      <c r="M194" s="375"/>
      <c r="N194" s="374" t="str">
        <f t="shared" si="5"/>
        <v/>
      </c>
      <c r="O194" s="709"/>
      <c r="P194" s="709"/>
      <c r="Q194" s="709"/>
    </row>
    <row r="195" spans="1:17" s="692" customFormat="1" ht="18" x14ac:dyDescent="0.25">
      <c r="A195" s="51"/>
      <c r="C195" s="308"/>
      <c r="D195" s="587"/>
      <c r="E195" s="450"/>
      <c r="F195" s="21"/>
      <c r="G195" s="21"/>
      <c r="H195" s="979"/>
      <c r="I195" s="364"/>
      <c r="J195" s="51"/>
      <c r="K195" s="51"/>
      <c r="M195" s="375"/>
      <c r="N195" s="374" t="str">
        <f t="shared" si="5"/>
        <v/>
      </c>
      <c r="O195" s="709"/>
      <c r="P195" s="709"/>
      <c r="Q195" s="709"/>
    </row>
    <row r="196" spans="1:17" s="692" customFormat="1" x14ac:dyDescent="0.25">
      <c r="A196" s="51"/>
      <c r="C196" s="308"/>
      <c r="D196" s="587"/>
      <c r="E196" s="450"/>
      <c r="F196" s="21"/>
      <c r="G196" s="21"/>
      <c r="H196" s="483"/>
      <c r="I196" s="483"/>
      <c r="J196" s="51"/>
      <c r="K196" s="51"/>
      <c r="M196" s="374"/>
      <c r="N196" s="374" t="str">
        <f t="shared" si="5"/>
        <v/>
      </c>
      <c r="O196" s="709"/>
      <c r="P196" s="709"/>
      <c r="Q196" s="709"/>
    </row>
    <row r="197" spans="1:17" s="692" customFormat="1" ht="18.75" x14ac:dyDescent="0.3">
      <c r="A197" s="51"/>
      <c r="C197" s="308"/>
      <c r="D197" s="587"/>
      <c r="E197" s="450"/>
      <c r="F197" s="21"/>
      <c r="G197" s="21"/>
      <c r="H197" s="364"/>
      <c r="I197" s="364"/>
      <c r="J197" s="977"/>
      <c r="K197" s="978"/>
      <c r="M197" s="374"/>
      <c r="N197" s="374" t="str">
        <f t="shared" si="5"/>
        <v/>
      </c>
      <c r="O197" s="709"/>
      <c r="P197" s="709"/>
      <c r="Q197" s="709"/>
    </row>
    <row r="198" spans="1:17" s="692" customFormat="1" x14ac:dyDescent="0.25">
      <c r="A198" s="51"/>
      <c r="C198" s="308"/>
      <c r="D198" s="587"/>
      <c r="E198" s="450"/>
      <c r="F198" s="21"/>
      <c r="G198" s="21"/>
      <c r="H198" s="483"/>
      <c r="I198" s="483"/>
      <c r="J198" s="51"/>
      <c r="K198" s="51"/>
      <c r="M198" s="374"/>
      <c r="N198" s="374" t="str">
        <f t="shared" si="5"/>
        <v/>
      </c>
      <c r="O198" s="709"/>
      <c r="P198" s="709"/>
      <c r="Q198" s="709"/>
    </row>
    <row r="199" spans="1:17" x14ac:dyDescent="0.25">
      <c r="A199" s="51"/>
      <c r="B199" s="692"/>
      <c r="H199" s="483"/>
      <c r="I199" s="483"/>
      <c r="J199" s="51"/>
      <c r="K199" s="51"/>
      <c r="L199" s="692"/>
      <c r="M199" s="374"/>
      <c r="N199" s="374" t="str">
        <f t="shared" si="5"/>
        <v/>
      </c>
      <c r="Q199" s="709"/>
    </row>
    <row r="200" spans="1:17" ht="18.75" x14ac:dyDescent="0.3">
      <c r="A200" s="692"/>
      <c r="B200" s="692"/>
      <c r="H200" s="942"/>
      <c r="I200" s="942"/>
      <c r="J200" s="977"/>
      <c r="K200" s="978"/>
      <c r="L200" s="692"/>
      <c r="M200" s="374"/>
      <c r="N200" s="374" t="e">
        <f t="shared" si="5"/>
        <v>#DIV/0!</v>
      </c>
      <c r="Q200" s="709"/>
    </row>
    <row r="201" spans="1:17" x14ac:dyDescent="0.25">
      <c r="A201" s="692"/>
      <c r="B201" s="692"/>
      <c r="H201" s="942"/>
      <c r="I201" s="364"/>
      <c r="J201" s="51"/>
      <c r="K201" s="51"/>
      <c r="L201" s="692"/>
      <c r="M201" s="374"/>
      <c r="N201" s="374" t="str">
        <f t="shared" si="5"/>
        <v/>
      </c>
      <c r="Q201" s="709"/>
    </row>
    <row r="202" spans="1:17" x14ac:dyDescent="0.25">
      <c r="A202" s="692"/>
      <c r="B202" s="692"/>
      <c r="H202" s="364"/>
      <c r="I202" s="364"/>
      <c r="J202" s="51"/>
      <c r="K202" s="51"/>
      <c r="L202" s="692"/>
      <c r="M202" s="374"/>
      <c r="N202" s="374" t="str">
        <f t="shared" si="5"/>
        <v/>
      </c>
      <c r="Q202" s="709"/>
    </row>
    <row r="203" spans="1:17" x14ac:dyDescent="0.25">
      <c r="A203" s="692"/>
      <c r="B203" s="692"/>
      <c r="H203" s="483"/>
      <c r="I203" s="483"/>
      <c r="J203" s="51"/>
      <c r="K203" s="51"/>
      <c r="L203" s="692"/>
      <c r="M203" s="374"/>
      <c r="N203" s="374"/>
      <c r="Q203" s="709"/>
    </row>
    <row r="204" spans="1:17" ht="18" x14ac:dyDescent="0.25">
      <c r="A204" s="692"/>
      <c r="B204" s="692"/>
      <c r="H204" s="943"/>
      <c r="I204" s="943"/>
      <c r="J204" s="51"/>
      <c r="K204" s="51"/>
      <c r="L204" s="692"/>
      <c r="M204" s="374"/>
      <c r="N204" s="375"/>
      <c r="Q204" s="709"/>
    </row>
    <row r="205" spans="1:17" x14ac:dyDescent="0.25">
      <c r="A205" s="692"/>
      <c r="B205" s="692"/>
      <c r="H205" s="980"/>
      <c r="I205" s="980"/>
      <c r="J205" s="51"/>
      <c r="K205" s="51"/>
      <c r="L205" s="692"/>
      <c r="M205" s="374"/>
      <c r="N205" s="374"/>
      <c r="Q205" s="709"/>
    </row>
    <row r="206" spans="1:17" x14ac:dyDescent="0.25">
      <c r="A206" s="692"/>
      <c r="B206" s="692"/>
      <c r="C206" s="692"/>
      <c r="D206" s="692"/>
      <c r="E206" s="692"/>
      <c r="F206" s="692"/>
      <c r="G206" s="692"/>
      <c r="H206" s="943"/>
      <c r="I206" s="943"/>
      <c r="J206" s="51"/>
      <c r="K206" s="51"/>
      <c r="L206" s="692"/>
      <c r="M206" s="374"/>
      <c r="Q206" s="692"/>
    </row>
    <row r="207" spans="1:17" ht="18" x14ac:dyDescent="0.25">
      <c r="A207" s="692"/>
      <c r="B207" s="692"/>
      <c r="H207" s="364"/>
      <c r="I207" s="364"/>
      <c r="J207" s="51"/>
      <c r="K207" s="51"/>
      <c r="L207" s="692"/>
      <c r="M207" s="375"/>
      <c r="Q207" s="692"/>
    </row>
    <row r="208" spans="1:17" x14ac:dyDescent="0.25">
      <c r="A208" s="692"/>
      <c r="B208" s="692"/>
      <c r="H208" s="483"/>
      <c r="I208" s="483"/>
      <c r="J208" s="51"/>
      <c r="K208" s="51"/>
      <c r="L208" s="692"/>
      <c r="M208" s="374"/>
      <c r="Q208" s="692"/>
    </row>
    <row r="209" spans="1:17" x14ac:dyDescent="0.25">
      <c r="A209" s="692"/>
      <c r="B209" s="692"/>
      <c r="H209" s="483"/>
      <c r="I209" s="483"/>
      <c r="J209" s="51"/>
      <c r="K209" s="51"/>
      <c r="L209" s="692"/>
      <c r="M209" s="374"/>
      <c r="Q209" s="692"/>
    </row>
    <row r="210" spans="1:17" x14ac:dyDescent="0.25">
      <c r="A210" s="692"/>
      <c r="B210" s="692"/>
      <c r="H210" s="364"/>
      <c r="I210" s="364"/>
      <c r="J210" s="51"/>
      <c r="K210" s="51"/>
      <c r="L210" s="692"/>
      <c r="M210" s="374"/>
      <c r="Q210" s="692"/>
    </row>
    <row r="211" spans="1:17" x14ac:dyDescent="0.25">
      <c r="A211" s="692"/>
      <c r="B211" s="692"/>
      <c r="H211" s="364"/>
      <c r="I211" s="942"/>
      <c r="J211" s="51"/>
      <c r="K211" s="51"/>
      <c r="L211" s="692"/>
      <c r="M211" s="374"/>
      <c r="Q211" s="692"/>
    </row>
    <row r="212" spans="1:17" x14ac:dyDescent="0.25">
      <c r="A212" s="692"/>
      <c r="B212" s="692"/>
      <c r="H212" s="364"/>
      <c r="I212" s="942"/>
      <c r="J212" s="51"/>
      <c r="K212" s="51"/>
      <c r="L212" s="692"/>
      <c r="M212" s="692"/>
      <c r="Q212" s="692"/>
    </row>
    <row r="213" spans="1:17" x14ac:dyDescent="0.25">
      <c r="A213" s="692"/>
      <c r="B213" s="692"/>
      <c r="H213" s="483"/>
      <c r="I213" s="483"/>
      <c r="J213" s="51"/>
      <c r="K213" s="51"/>
      <c r="L213" s="692"/>
      <c r="M213" s="692"/>
      <c r="Q213" s="692"/>
    </row>
    <row r="214" spans="1:17" x14ac:dyDescent="0.25">
      <c r="A214" s="692"/>
      <c r="B214" s="692"/>
      <c r="H214" s="364"/>
      <c r="I214" s="364"/>
      <c r="J214" s="51"/>
      <c r="K214" s="51"/>
      <c r="L214" s="692"/>
      <c r="M214" s="692"/>
      <c r="Q214" s="692"/>
    </row>
    <row r="215" spans="1:17" ht="29.1" customHeight="1" x14ac:dyDescent="0.25">
      <c r="A215" s="692"/>
      <c r="B215" s="692"/>
      <c r="H215" s="692"/>
      <c r="I215" s="692"/>
      <c r="J215" s="692"/>
      <c r="K215" s="692"/>
      <c r="L215" s="692"/>
      <c r="M215" s="692"/>
      <c r="Q215" s="692"/>
    </row>
    <row r="216" spans="1:17" x14ac:dyDescent="0.25">
      <c r="A216" s="692"/>
      <c r="B216" s="692"/>
      <c r="H216" s="692"/>
      <c r="I216" s="692"/>
      <c r="J216" s="692"/>
      <c r="K216" s="692"/>
      <c r="L216" s="692"/>
      <c r="M216" s="692"/>
      <c r="Q216" s="692"/>
    </row>
    <row r="217" spans="1:17" ht="16.5" x14ac:dyDescent="0.3">
      <c r="A217" s="692"/>
      <c r="B217" s="297"/>
      <c r="C217" s="464"/>
      <c r="D217" s="595"/>
      <c r="E217" s="438"/>
      <c r="F217" s="323"/>
      <c r="G217" s="323"/>
      <c r="H217" s="692"/>
      <c r="I217" s="692"/>
      <c r="J217" s="692"/>
      <c r="K217" s="692"/>
      <c r="L217" s="692"/>
      <c r="M217" s="692"/>
      <c r="Q217" s="692"/>
    </row>
    <row r="218" spans="1:17" ht="23.1" customHeight="1" x14ac:dyDescent="0.25">
      <c r="A218" s="692"/>
      <c r="B218" s="363"/>
      <c r="C218" s="465"/>
      <c r="D218" s="596"/>
      <c r="E218" s="363"/>
      <c r="F218" s="456"/>
      <c r="G218" s="456"/>
      <c r="H218" s="692"/>
      <c r="I218" s="692"/>
      <c r="J218" s="692"/>
      <c r="K218" s="692"/>
      <c r="L218" s="692"/>
      <c r="M218" s="692"/>
      <c r="Q218" s="692"/>
    </row>
    <row r="219" spans="1:17" ht="16.5" x14ac:dyDescent="0.3">
      <c r="A219" s="692"/>
      <c r="B219" s="4"/>
      <c r="C219" s="464"/>
      <c r="D219" s="595"/>
      <c r="E219" s="438"/>
      <c r="F219" s="323"/>
      <c r="G219" s="323"/>
      <c r="H219" s="692"/>
      <c r="I219" s="692"/>
      <c r="J219" s="692"/>
      <c r="K219" s="692"/>
      <c r="L219" s="692"/>
      <c r="M219" s="692"/>
      <c r="Q219" s="692"/>
    </row>
    <row r="220" spans="1:17" s="692" customFormat="1" ht="16.5" x14ac:dyDescent="0.3">
      <c r="B220" s="4"/>
      <c r="C220" s="464"/>
      <c r="D220" s="595"/>
      <c r="E220" s="438"/>
      <c r="F220" s="323"/>
      <c r="G220" s="323"/>
      <c r="N220" s="709"/>
      <c r="O220" s="709"/>
      <c r="P220" s="709"/>
    </row>
    <row r="221" spans="1:17" x14ac:dyDescent="0.25">
      <c r="A221" s="692"/>
      <c r="B221" s="692"/>
      <c r="H221" s="692"/>
      <c r="I221" s="692"/>
      <c r="J221" s="692"/>
      <c r="K221" s="692"/>
      <c r="L221" s="692"/>
      <c r="M221" s="692"/>
      <c r="Q221" s="692"/>
    </row>
    <row r="222" spans="1:17" x14ac:dyDescent="0.25">
      <c r="A222" s="692"/>
      <c r="B222" s="692"/>
      <c r="H222" s="692"/>
      <c r="I222" s="692"/>
      <c r="J222" s="692"/>
      <c r="K222" s="692"/>
      <c r="L222" s="692"/>
      <c r="M222" s="692"/>
      <c r="Q222" s="692"/>
    </row>
    <row r="223" spans="1:17" x14ac:dyDescent="0.25">
      <c r="A223" s="692"/>
      <c r="B223" s="692"/>
      <c r="H223" s="1"/>
      <c r="I223" s="1"/>
      <c r="J223" s="692"/>
      <c r="K223" s="692"/>
      <c r="L223" s="692"/>
      <c r="M223" s="692"/>
      <c r="Q223" s="692"/>
    </row>
    <row r="224" spans="1:17" ht="15.75" x14ac:dyDescent="0.3">
      <c r="A224" s="692"/>
      <c r="B224" s="29"/>
      <c r="C224" s="437"/>
      <c r="D224" s="597"/>
      <c r="E224" s="442"/>
      <c r="H224" s="1"/>
      <c r="I224" s="1"/>
      <c r="J224" s="692"/>
      <c r="K224" s="692"/>
      <c r="L224" s="692"/>
      <c r="M224" s="692"/>
      <c r="Q224" s="692"/>
    </row>
    <row r="225" spans="1:17" x14ac:dyDescent="0.25">
      <c r="A225" s="692"/>
      <c r="B225" s="679"/>
      <c r="C225" s="6"/>
      <c r="D225" s="556"/>
      <c r="E225" s="66"/>
      <c r="F225" s="374"/>
      <c r="G225" s="374"/>
      <c r="H225" s="1"/>
      <c r="I225" s="1"/>
      <c r="J225" s="692"/>
      <c r="K225" s="692"/>
      <c r="L225" s="692"/>
      <c r="M225" s="692"/>
      <c r="Q225" s="692"/>
    </row>
    <row r="226" spans="1:17" x14ac:dyDescent="0.25">
      <c r="A226" s="692"/>
      <c r="B226" s="11"/>
      <c r="C226" s="12"/>
      <c r="D226" s="598"/>
      <c r="E226" s="55"/>
      <c r="F226" s="374"/>
      <c r="G226" s="374"/>
      <c r="H226" s="692"/>
      <c r="I226" s="692"/>
      <c r="J226" s="692"/>
      <c r="K226" s="692"/>
      <c r="L226" s="692"/>
      <c r="M226" s="692"/>
      <c r="Q226" s="692"/>
    </row>
    <row r="227" spans="1:17" x14ac:dyDescent="0.25">
      <c r="A227" s="692"/>
      <c r="B227" s="11"/>
      <c r="C227" s="12"/>
      <c r="D227" s="598"/>
      <c r="E227" s="55"/>
      <c r="F227" s="374"/>
      <c r="G227" s="374"/>
      <c r="H227" s="692"/>
      <c r="I227" s="692"/>
      <c r="J227" s="692"/>
      <c r="K227" s="692"/>
      <c r="L227" s="692"/>
      <c r="M227" s="692"/>
      <c r="Q227" s="692"/>
    </row>
    <row r="228" spans="1:17" ht="15.75" x14ac:dyDescent="0.3">
      <c r="A228" s="692"/>
      <c r="B228" s="29"/>
      <c r="C228" s="437"/>
      <c r="D228" s="556"/>
      <c r="E228" s="66"/>
      <c r="H228" s="692"/>
      <c r="I228" s="692"/>
      <c r="J228" s="692"/>
      <c r="K228" s="692"/>
      <c r="L228" s="692"/>
      <c r="M228" s="692"/>
      <c r="Q228" s="692"/>
    </row>
    <row r="229" spans="1:17" ht="15.75" x14ac:dyDescent="0.3">
      <c r="A229" s="692"/>
      <c r="B229" s="29"/>
      <c r="C229" s="437"/>
      <c r="D229" s="556"/>
      <c r="E229" s="66"/>
      <c r="H229" s="692"/>
      <c r="I229" s="692"/>
      <c r="J229" s="692"/>
      <c r="K229" s="692"/>
      <c r="L229" s="692"/>
      <c r="M229" s="692"/>
      <c r="Q229" s="432" t="e">
        <f>O229/P229</f>
        <v>#DIV/0!</v>
      </c>
    </row>
    <row r="230" spans="1:17" ht="15.75" x14ac:dyDescent="0.3">
      <c r="A230" s="692"/>
      <c r="B230" s="29"/>
      <c r="C230" s="437"/>
      <c r="D230" s="597"/>
      <c r="E230" s="442"/>
      <c r="H230" s="692"/>
      <c r="I230" s="692"/>
      <c r="J230" s="692"/>
      <c r="K230" s="692"/>
      <c r="L230" s="692"/>
      <c r="M230" s="692"/>
      <c r="Q230" s="692"/>
    </row>
    <row r="231" spans="1:17" ht="15.75" x14ac:dyDescent="0.3">
      <c r="A231" s="692"/>
      <c r="B231" s="29"/>
      <c r="C231" s="437"/>
      <c r="D231" s="556"/>
      <c r="E231" s="66"/>
      <c r="H231" s="692"/>
      <c r="I231" s="692"/>
      <c r="J231" s="692"/>
      <c r="K231" s="692"/>
      <c r="L231" s="692"/>
      <c r="M231" s="692"/>
      <c r="Q231" s="692"/>
    </row>
    <row r="232" spans="1:17" ht="15.75" x14ac:dyDescent="0.3">
      <c r="A232" s="692"/>
      <c r="B232" s="41"/>
      <c r="C232" s="463"/>
      <c r="D232" s="573"/>
      <c r="E232" s="444"/>
      <c r="H232" s="692"/>
      <c r="I232" s="692"/>
      <c r="J232" s="692"/>
      <c r="K232" s="692"/>
      <c r="L232" s="692"/>
      <c r="M232" s="692"/>
      <c r="Q232" s="692"/>
    </row>
    <row r="233" spans="1:17" ht="16.5" x14ac:dyDescent="0.3">
      <c r="A233" s="692"/>
      <c r="B233" s="41"/>
      <c r="C233" s="463"/>
      <c r="D233" s="574"/>
      <c r="E233" s="445"/>
      <c r="H233" s="692"/>
      <c r="I233" s="692"/>
      <c r="J233" s="692"/>
      <c r="K233" s="692"/>
      <c r="L233" s="692"/>
      <c r="M233" s="692"/>
      <c r="Q233" s="692"/>
    </row>
    <row r="234" spans="1:17" ht="16.5" hidden="1" x14ac:dyDescent="0.3">
      <c r="A234" s="692"/>
      <c r="B234" s="41"/>
      <c r="C234" s="463"/>
      <c r="D234" s="575"/>
      <c r="E234" s="439"/>
      <c r="H234" s="692"/>
      <c r="I234" s="692"/>
      <c r="J234" s="692"/>
      <c r="K234" s="692"/>
      <c r="L234" s="692"/>
      <c r="M234" s="692"/>
      <c r="Q234" s="692"/>
    </row>
    <row r="235" spans="1:17" ht="16.5" hidden="1" x14ac:dyDescent="0.3">
      <c r="A235" s="692"/>
      <c r="B235" s="41"/>
      <c r="C235" s="463"/>
      <c r="D235" s="575"/>
      <c r="E235" s="439"/>
      <c r="H235" s="692"/>
      <c r="I235" s="692"/>
      <c r="J235" s="692"/>
      <c r="K235" s="692"/>
      <c r="L235" s="692"/>
      <c r="M235" s="692"/>
      <c r="Q235" s="692"/>
    </row>
    <row r="236" spans="1:17" ht="15.75" hidden="1" x14ac:dyDescent="0.3">
      <c r="A236" s="692"/>
      <c r="B236" s="41"/>
      <c r="C236" s="463"/>
      <c r="D236" s="571"/>
      <c r="E236" s="710"/>
      <c r="H236" s="692"/>
      <c r="I236" s="692"/>
      <c r="J236" s="692"/>
      <c r="K236" s="692"/>
      <c r="L236" s="692"/>
      <c r="M236" s="692"/>
      <c r="Q236" s="692"/>
    </row>
    <row r="237" spans="1:17" ht="15.75" hidden="1" x14ac:dyDescent="0.3">
      <c r="A237" s="692"/>
      <c r="B237" s="41"/>
      <c r="C237" s="463"/>
      <c r="D237" s="571"/>
      <c r="E237" s="710"/>
      <c r="H237" s="692"/>
      <c r="I237" s="692"/>
      <c r="J237" s="692"/>
      <c r="K237" s="692"/>
      <c r="L237" s="692"/>
      <c r="M237" s="692"/>
      <c r="Q237" s="692"/>
    </row>
    <row r="238" spans="1:17" ht="15.75" hidden="1" x14ac:dyDescent="0.3">
      <c r="A238" s="692"/>
      <c r="B238" s="469"/>
      <c r="C238" s="476"/>
      <c r="D238" s="571"/>
      <c r="E238" s="710"/>
      <c r="H238" s="692"/>
      <c r="I238" s="692"/>
      <c r="J238" s="692"/>
      <c r="K238" s="692"/>
      <c r="L238" s="692"/>
      <c r="M238" s="692"/>
      <c r="Q238" s="692"/>
    </row>
    <row r="239" spans="1:17" hidden="1" x14ac:dyDescent="0.25">
      <c r="A239" s="692"/>
      <c r="B239" s="681"/>
      <c r="C239" s="97"/>
      <c r="D239" s="558"/>
      <c r="E239" s="39"/>
      <c r="H239" s="692"/>
      <c r="I239" s="692"/>
      <c r="J239" s="692"/>
      <c r="K239" s="692"/>
      <c r="L239" s="692"/>
      <c r="M239" s="692"/>
      <c r="Q239" s="692"/>
    </row>
    <row r="240" spans="1:17" hidden="1" x14ac:dyDescent="0.25">
      <c r="A240" s="692"/>
      <c r="B240" s="260"/>
      <c r="C240" s="260"/>
      <c r="D240" s="558"/>
      <c r="E240" s="39"/>
      <c r="H240" s="692"/>
      <c r="I240" s="692"/>
      <c r="J240" s="692"/>
      <c r="K240" s="692"/>
      <c r="L240" s="692"/>
      <c r="M240" s="692"/>
      <c r="Q240" s="692"/>
    </row>
    <row r="241" spans="1:17" hidden="1" x14ac:dyDescent="0.25">
      <c r="A241" s="692"/>
      <c r="B241" s="260"/>
      <c r="C241" s="260"/>
      <c r="D241" s="558"/>
      <c r="E241" s="39"/>
      <c r="H241" s="692"/>
      <c r="I241" s="692"/>
      <c r="J241" s="692"/>
      <c r="K241" s="692"/>
      <c r="L241" s="692"/>
      <c r="M241" s="692"/>
      <c r="Q241" s="692"/>
    </row>
    <row r="242" spans="1:17" hidden="1" x14ac:dyDescent="0.25">
      <c r="A242" s="692"/>
      <c r="B242" s="260"/>
      <c r="C242" s="260"/>
      <c r="D242" s="558"/>
      <c r="E242" s="39"/>
      <c r="H242" s="692"/>
      <c r="I242" s="692"/>
      <c r="J242" s="692"/>
      <c r="K242" s="692"/>
      <c r="L242" s="692"/>
      <c r="M242" s="692"/>
      <c r="Q242" s="692"/>
    </row>
    <row r="243" spans="1:17" hidden="1" x14ac:dyDescent="0.25">
      <c r="A243" s="692"/>
      <c r="B243" s="34"/>
      <c r="C243" s="32"/>
      <c r="D243" s="571"/>
      <c r="E243" s="710"/>
      <c r="H243" s="692"/>
      <c r="I243" s="692"/>
      <c r="J243" s="692"/>
      <c r="K243" s="692"/>
      <c r="L243" s="692"/>
      <c r="M243" s="692"/>
      <c r="Q243" s="692"/>
    </row>
    <row r="244" spans="1:17" hidden="1" x14ac:dyDescent="0.25">
      <c r="A244" s="692"/>
      <c r="B244" s="34"/>
      <c r="C244" s="32"/>
      <c r="D244" s="571"/>
      <c r="E244" s="710"/>
      <c r="H244" s="692"/>
      <c r="I244" s="692"/>
      <c r="J244" s="692"/>
      <c r="K244" s="692"/>
      <c r="L244" s="692"/>
      <c r="M244" s="692"/>
      <c r="Q244" s="692"/>
    </row>
    <row r="245" spans="1:17" ht="15.75" hidden="1" x14ac:dyDescent="0.3">
      <c r="A245" s="692"/>
      <c r="B245" s="343"/>
      <c r="C245" s="475"/>
      <c r="D245" s="571"/>
      <c r="E245" s="710"/>
      <c r="F245" s="474"/>
      <c r="G245" s="474"/>
      <c r="H245" s="692"/>
      <c r="I245" s="692"/>
      <c r="J245" s="692"/>
      <c r="K245" s="692"/>
      <c r="L245" s="692"/>
      <c r="M245" s="692"/>
      <c r="Q245" s="692"/>
    </row>
    <row r="246" spans="1:17" hidden="1" x14ac:dyDescent="0.25">
      <c r="A246" s="692"/>
      <c r="B246" s="34"/>
      <c r="C246" s="32"/>
      <c r="D246" s="348"/>
      <c r="E246" s="446"/>
      <c r="H246" s="692"/>
      <c r="I246" s="692"/>
      <c r="J246" s="692"/>
      <c r="K246" s="692"/>
      <c r="L246" s="692"/>
      <c r="M246" s="692"/>
      <c r="Q246" s="692"/>
    </row>
    <row r="247" spans="1:17" hidden="1" x14ac:dyDescent="0.25">
      <c r="A247" s="692"/>
      <c r="B247" s="34"/>
      <c r="C247" s="32"/>
      <c r="D247" s="576"/>
      <c r="H247" s="692"/>
      <c r="I247" s="692"/>
      <c r="J247" s="692"/>
      <c r="K247" s="692"/>
      <c r="L247" s="692"/>
      <c r="M247" s="692"/>
      <c r="Q247" s="692"/>
    </row>
    <row r="248" spans="1:17" hidden="1" x14ac:dyDescent="0.25">
      <c r="A248" s="692"/>
      <c r="B248" s="34"/>
      <c r="C248" s="32"/>
      <c r="D248" s="571"/>
      <c r="H248" s="692"/>
      <c r="I248" s="692"/>
      <c r="J248" s="692"/>
      <c r="K248" s="692"/>
      <c r="L248" s="692"/>
      <c r="M248" s="692"/>
      <c r="Q248" s="692"/>
    </row>
    <row r="249" spans="1:17" hidden="1" x14ac:dyDescent="0.25">
      <c r="A249" s="692"/>
      <c r="B249" s="34"/>
      <c r="C249" s="32"/>
      <c r="D249" s="571"/>
      <c r="E249" s="34"/>
      <c r="H249" s="692"/>
      <c r="I249" s="692"/>
      <c r="J249" s="692"/>
      <c r="K249" s="692"/>
      <c r="L249" s="692"/>
      <c r="M249" s="692"/>
      <c r="Q249" s="692"/>
    </row>
    <row r="250" spans="1:17" ht="15.75" hidden="1" x14ac:dyDescent="0.3">
      <c r="A250" s="692"/>
      <c r="B250" s="367"/>
      <c r="C250" s="466"/>
      <c r="D250" s="577"/>
      <c r="E250" s="447"/>
      <c r="H250" s="692"/>
      <c r="I250" s="692"/>
      <c r="J250" s="692"/>
      <c r="K250" s="692"/>
      <c r="L250" s="692"/>
      <c r="M250" s="692"/>
      <c r="Q250" s="692"/>
    </row>
    <row r="251" spans="1:17" ht="15.75" hidden="1" x14ac:dyDescent="0.3">
      <c r="A251" s="692"/>
      <c r="B251" s="367"/>
      <c r="C251" s="466"/>
      <c r="D251" s="572"/>
      <c r="E251" s="370"/>
      <c r="H251" s="692"/>
      <c r="I251" s="692"/>
      <c r="J251" s="692"/>
      <c r="K251" s="692"/>
      <c r="L251" s="692"/>
      <c r="M251" s="692"/>
      <c r="Q251" s="692"/>
    </row>
    <row r="252" spans="1:17" hidden="1" x14ac:dyDescent="0.25">
      <c r="A252" s="692"/>
      <c r="B252" s="681"/>
      <c r="C252" s="97"/>
      <c r="D252" s="558"/>
      <c r="E252" s="39"/>
      <c r="H252" s="692"/>
      <c r="I252" s="692"/>
      <c r="J252" s="692"/>
      <c r="K252" s="692"/>
      <c r="L252" s="692"/>
      <c r="M252" s="692"/>
      <c r="Q252" s="692"/>
    </row>
    <row r="253" spans="1:17" hidden="1" x14ac:dyDescent="0.25">
      <c r="A253" s="692"/>
      <c r="B253" s="84"/>
      <c r="C253" s="84"/>
      <c r="D253" s="578"/>
      <c r="E253" s="449"/>
      <c r="F253" s="374"/>
      <c r="G253" s="374"/>
      <c r="H253" s="692"/>
      <c r="I253" s="692"/>
      <c r="J253" s="692"/>
      <c r="K253" s="692"/>
      <c r="L253" s="692"/>
      <c r="M253" s="692"/>
      <c r="Q253" s="692"/>
    </row>
    <row r="254" spans="1:17" hidden="1" x14ac:dyDescent="0.25">
      <c r="A254" s="692"/>
      <c r="B254" s="84"/>
      <c r="C254" s="84"/>
      <c r="D254" s="578"/>
      <c r="E254" s="449"/>
      <c r="F254" s="374"/>
      <c r="G254" s="374"/>
      <c r="H254" s="692"/>
      <c r="I254" s="692"/>
      <c r="J254" s="692"/>
      <c r="K254" s="692"/>
      <c r="L254" s="692"/>
      <c r="M254" s="692"/>
      <c r="Q254" s="692"/>
    </row>
    <row r="255" spans="1:17" hidden="1" x14ac:dyDescent="0.25">
      <c r="A255" s="692"/>
      <c r="B255" s="70"/>
      <c r="C255" s="70"/>
      <c r="D255" s="572"/>
      <c r="E255" s="370"/>
      <c r="H255" s="692"/>
      <c r="I255" s="692"/>
      <c r="J255" s="692"/>
      <c r="K255" s="692"/>
      <c r="L255" s="692"/>
      <c r="M255" s="692"/>
      <c r="Q255" s="692"/>
    </row>
    <row r="256" spans="1:17" hidden="1" x14ac:dyDescent="0.25">
      <c r="A256" s="692"/>
      <c r="B256" s="84"/>
      <c r="C256" s="84"/>
      <c r="D256" s="579"/>
      <c r="E256" s="451"/>
      <c r="H256" s="692"/>
      <c r="I256" s="692"/>
      <c r="J256" s="692"/>
      <c r="K256" s="692"/>
      <c r="L256" s="692"/>
      <c r="M256" s="692"/>
      <c r="Q256" s="692"/>
    </row>
    <row r="257" spans="1:17" hidden="1" x14ac:dyDescent="0.25">
      <c r="A257" s="692"/>
      <c r="B257" s="84"/>
      <c r="C257" s="84"/>
      <c r="D257" s="558"/>
      <c r="E257" s="39"/>
      <c r="F257" s="374"/>
      <c r="G257" s="374"/>
      <c r="H257" s="692"/>
      <c r="I257" s="692"/>
      <c r="J257" s="692"/>
      <c r="K257" s="692"/>
      <c r="L257" s="692"/>
      <c r="M257" s="692"/>
      <c r="Q257" s="692"/>
    </row>
    <row r="258" spans="1:17" hidden="1" x14ac:dyDescent="0.25">
      <c r="A258" s="692"/>
      <c r="B258" s="34"/>
      <c r="C258" s="32"/>
      <c r="D258" s="571"/>
      <c r="E258" s="342"/>
      <c r="F258" s="374"/>
      <c r="G258" s="374"/>
      <c r="H258" s="692"/>
      <c r="I258" s="692"/>
      <c r="J258" s="692"/>
      <c r="K258" s="692"/>
      <c r="L258" s="692"/>
      <c r="M258" s="692"/>
      <c r="Q258" s="692"/>
    </row>
    <row r="259" spans="1:17" hidden="1" x14ac:dyDescent="0.25">
      <c r="A259" s="692"/>
      <c r="B259" s="368"/>
      <c r="C259" s="368"/>
      <c r="D259" s="580"/>
      <c r="E259" s="369"/>
      <c r="F259" s="374"/>
      <c r="G259" s="374"/>
      <c r="H259" s="692"/>
      <c r="I259" s="692"/>
      <c r="J259" s="692"/>
      <c r="K259" s="692"/>
      <c r="L259" s="692"/>
      <c r="M259" s="692"/>
      <c r="Q259" s="692"/>
    </row>
    <row r="260" spans="1:17" hidden="1" x14ac:dyDescent="0.25">
      <c r="A260" s="692"/>
      <c r="B260" s="368"/>
      <c r="C260" s="368"/>
      <c r="D260" s="580"/>
      <c r="E260" s="369"/>
      <c r="H260" s="692"/>
      <c r="I260" s="692"/>
      <c r="J260" s="692"/>
      <c r="K260" s="692"/>
      <c r="L260" s="692"/>
      <c r="M260" s="692"/>
      <c r="Q260" s="692"/>
    </row>
    <row r="261" spans="1:17" ht="15.75" hidden="1" x14ac:dyDescent="0.3">
      <c r="A261" s="692"/>
      <c r="B261" s="368"/>
      <c r="C261" s="368"/>
      <c r="D261" s="599"/>
      <c r="E261" s="443"/>
      <c r="H261" s="692"/>
      <c r="I261" s="692"/>
      <c r="J261" s="692"/>
      <c r="K261" s="692"/>
      <c r="L261" s="692"/>
      <c r="M261" s="709"/>
      <c r="Q261" s="692"/>
    </row>
    <row r="262" spans="1:17" hidden="1" x14ac:dyDescent="0.25">
      <c r="A262" s="692"/>
      <c r="B262" s="368"/>
      <c r="C262" s="368"/>
      <c r="D262" s="572"/>
      <c r="E262" s="370"/>
      <c r="H262" s="692"/>
      <c r="I262" s="692"/>
      <c r="J262" s="692">
        <f>IF(F264="COMPLIANT",1,0)</f>
        <v>0</v>
      </c>
      <c r="K262" s="692"/>
      <c r="L262" s="692"/>
      <c r="M262" s="692"/>
      <c r="Q262" s="692"/>
    </row>
    <row r="263" spans="1:17" hidden="1" x14ac:dyDescent="0.25">
      <c r="A263" s="692"/>
      <c r="B263" s="369"/>
      <c r="C263" s="369"/>
      <c r="D263" s="572"/>
      <c r="E263" s="370"/>
      <c r="F263" s="374"/>
      <c r="G263" s="374"/>
      <c r="H263" s="692"/>
      <c r="I263" s="692"/>
      <c r="J263" s="692">
        <f>IF(F265="COMPLIANT",1,0)</f>
        <v>0</v>
      </c>
      <c r="K263" s="692"/>
      <c r="L263" s="692"/>
      <c r="M263" s="692"/>
      <c r="Q263" s="692"/>
    </row>
    <row r="264" spans="1:17" hidden="1" x14ac:dyDescent="0.25">
      <c r="A264" s="692"/>
      <c r="B264" s="255"/>
      <c r="C264" s="255"/>
      <c r="D264" s="572"/>
      <c r="E264" s="370"/>
      <c r="F264" s="374"/>
      <c r="G264" s="374"/>
      <c r="H264" s="692"/>
      <c r="I264" s="692"/>
      <c r="J264" s="692"/>
      <c r="K264" s="692"/>
      <c r="L264" s="692"/>
      <c r="M264" s="692"/>
      <c r="Q264" s="692"/>
    </row>
    <row r="265" spans="1:17" hidden="1" x14ac:dyDescent="0.25">
      <c r="A265" s="692"/>
      <c r="B265" s="255"/>
      <c r="C265" s="255"/>
      <c r="D265" s="572"/>
      <c r="E265" s="370"/>
      <c r="F265" s="374"/>
      <c r="G265" s="374"/>
      <c r="H265" s="709"/>
      <c r="I265" s="709"/>
      <c r="J265" s="709"/>
      <c r="K265" s="709"/>
      <c r="L265" s="709"/>
      <c r="M265" s="692"/>
      <c r="Q265" s="692"/>
    </row>
    <row r="266" spans="1:17" hidden="1" x14ac:dyDescent="0.25">
      <c r="A266" s="692"/>
      <c r="B266" s="164"/>
      <c r="C266" s="73"/>
      <c r="D266" s="571"/>
      <c r="E266" s="448"/>
      <c r="F266" s="374"/>
      <c r="G266" s="374"/>
      <c r="H266" s="692"/>
      <c r="I266" s="692"/>
      <c r="J266" s="692"/>
      <c r="K266" s="692"/>
      <c r="L266" s="692"/>
      <c r="M266" s="692"/>
      <c r="Q266" s="692"/>
    </row>
    <row r="267" spans="1:17" hidden="1" x14ac:dyDescent="0.25">
      <c r="A267" s="709"/>
      <c r="B267" s="164"/>
      <c r="C267" s="73"/>
      <c r="D267" s="600"/>
      <c r="E267" s="452"/>
      <c r="F267" s="468"/>
      <c r="G267" s="468"/>
      <c r="H267" s="692"/>
      <c r="I267" s="692"/>
      <c r="J267" s="692"/>
      <c r="K267" s="692"/>
      <c r="L267" s="692"/>
      <c r="M267" s="692"/>
      <c r="Q267" s="692"/>
    </row>
    <row r="268" spans="1:17" hidden="1" x14ac:dyDescent="0.25">
      <c r="A268" s="692"/>
      <c r="B268" s="164"/>
      <c r="C268" s="73"/>
      <c r="D268" s="572"/>
      <c r="E268" s="370"/>
      <c r="F268" s="374"/>
      <c r="G268" s="374"/>
      <c r="H268" s="692"/>
      <c r="I268" s="692"/>
      <c r="J268" s="692"/>
      <c r="K268" s="692"/>
      <c r="L268" s="692"/>
      <c r="M268" s="692"/>
      <c r="Q268" s="692"/>
    </row>
    <row r="269" spans="1:17" hidden="1" x14ac:dyDescent="0.25">
      <c r="A269" s="692"/>
      <c r="B269" s="34"/>
      <c r="C269" s="32"/>
      <c r="D269" s="571"/>
      <c r="E269" s="710"/>
      <c r="F269" s="374"/>
      <c r="G269" s="374"/>
      <c r="H269" s="692"/>
      <c r="I269" s="692"/>
      <c r="J269" s="692"/>
      <c r="K269" s="692"/>
      <c r="L269" s="692"/>
      <c r="M269" s="692"/>
      <c r="Q269" s="692"/>
    </row>
    <row r="270" spans="1:17" hidden="1" x14ac:dyDescent="0.25">
      <c r="A270" s="692"/>
      <c r="B270" s="368"/>
      <c r="C270" s="368"/>
      <c r="D270" s="580"/>
      <c r="E270" s="369"/>
      <c r="F270" s="374"/>
      <c r="G270" s="374"/>
      <c r="H270" s="692"/>
      <c r="I270" s="692"/>
      <c r="J270" s="692"/>
      <c r="K270" s="692"/>
      <c r="L270" s="692"/>
      <c r="M270" s="692"/>
      <c r="Q270" s="692"/>
    </row>
    <row r="271" spans="1:17" hidden="1" x14ac:dyDescent="0.25">
      <c r="A271" s="692"/>
      <c r="B271" s="70"/>
      <c r="C271" s="70"/>
      <c r="D271" s="580"/>
      <c r="E271" s="369"/>
      <c r="F271" s="374"/>
      <c r="G271" s="374"/>
      <c r="H271" s="692"/>
      <c r="I271" s="692"/>
      <c r="J271" s="692"/>
      <c r="K271" s="692"/>
      <c r="L271" s="692"/>
      <c r="M271" s="692"/>
      <c r="Q271" s="692"/>
    </row>
    <row r="272" spans="1:17" hidden="1" x14ac:dyDescent="0.25">
      <c r="A272" s="692"/>
      <c r="B272" s="70"/>
      <c r="C272" s="70"/>
      <c r="D272" s="572"/>
      <c r="E272" s="370"/>
      <c r="F272" s="374"/>
      <c r="G272" s="374"/>
      <c r="H272" s="692"/>
      <c r="I272" s="692"/>
      <c r="J272" s="692"/>
      <c r="K272" s="692"/>
      <c r="L272" s="692"/>
      <c r="M272" s="692"/>
      <c r="Q272" s="692"/>
    </row>
    <row r="273" spans="1:17" hidden="1" x14ac:dyDescent="0.25">
      <c r="A273" s="709"/>
      <c r="B273" s="70"/>
      <c r="C273" s="70"/>
      <c r="D273" s="572"/>
      <c r="E273" s="370"/>
      <c r="F273" s="374"/>
      <c r="G273" s="374"/>
      <c r="H273" s="692"/>
      <c r="I273" s="692"/>
      <c r="J273" s="692"/>
      <c r="K273" s="692"/>
      <c r="L273" s="692"/>
      <c r="M273" s="692"/>
      <c r="Q273" s="692"/>
    </row>
    <row r="274" spans="1:17" hidden="1" x14ac:dyDescent="0.25">
      <c r="A274" s="692"/>
      <c r="B274" s="368"/>
      <c r="C274" s="368"/>
      <c r="D274" s="571"/>
      <c r="E274" s="710"/>
      <c r="F274" s="374"/>
      <c r="G274" s="374"/>
      <c r="H274" s="692"/>
      <c r="I274" s="692"/>
      <c r="J274" s="692"/>
      <c r="K274" s="692"/>
      <c r="L274" s="692"/>
      <c r="M274" s="692"/>
      <c r="Q274" s="692"/>
    </row>
    <row r="275" spans="1:17" hidden="1" x14ac:dyDescent="0.25">
      <c r="A275" s="692"/>
      <c r="B275" s="368"/>
      <c r="C275" s="368"/>
      <c r="D275" s="571"/>
      <c r="E275" s="710"/>
      <c r="F275" s="374"/>
      <c r="G275" s="374"/>
      <c r="H275" s="692"/>
      <c r="I275" s="692"/>
      <c r="J275" s="692"/>
      <c r="K275" s="692"/>
      <c r="L275" s="692"/>
      <c r="M275" s="692"/>
      <c r="Q275" s="692"/>
    </row>
    <row r="276" spans="1:17" hidden="1" x14ac:dyDescent="0.25">
      <c r="A276" s="692"/>
      <c r="B276" s="34"/>
      <c r="C276" s="32"/>
      <c r="D276" s="571"/>
      <c r="E276" s="710"/>
      <c r="F276" s="374"/>
      <c r="G276" s="374"/>
      <c r="H276" s="692"/>
      <c r="I276" s="692"/>
      <c r="J276" s="692"/>
      <c r="K276" s="692"/>
      <c r="L276" s="692"/>
      <c r="M276" s="692"/>
      <c r="Q276" s="692"/>
    </row>
    <row r="277" spans="1:17" hidden="1" x14ac:dyDescent="0.25">
      <c r="A277" s="692"/>
      <c r="B277" s="692"/>
      <c r="H277" s="692"/>
      <c r="I277" s="692"/>
      <c r="J277" s="692"/>
      <c r="K277" s="692"/>
      <c r="L277" s="692"/>
      <c r="M277" s="692"/>
      <c r="Q277" s="692"/>
    </row>
    <row r="278" spans="1:17" hidden="1" x14ac:dyDescent="0.25">
      <c r="A278" s="692"/>
      <c r="B278" s="692"/>
      <c r="H278" s="430"/>
      <c r="I278" s="692"/>
      <c r="J278" s="692"/>
      <c r="K278" s="692"/>
      <c r="L278" s="692"/>
      <c r="M278" s="692"/>
      <c r="Q278" s="692"/>
    </row>
    <row r="279" spans="1:17" s="13" customFormat="1" hidden="1" x14ac:dyDescent="0.25">
      <c r="A279" s="692"/>
      <c r="B279" s="692"/>
      <c r="C279" s="308"/>
      <c r="D279" s="587"/>
      <c r="E279" s="450"/>
      <c r="F279" s="692"/>
      <c r="G279" s="21"/>
      <c r="H279" s="692"/>
      <c r="I279" s="692"/>
      <c r="J279" s="692"/>
      <c r="K279" s="692"/>
      <c r="L279" s="692"/>
      <c r="M279" s="692"/>
      <c r="N279" s="709"/>
      <c r="O279" s="709"/>
      <c r="P279" s="709"/>
      <c r="Q279" s="709"/>
    </row>
    <row r="280" spans="1:17" hidden="1" x14ac:dyDescent="0.25">
      <c r="A280" s="692"/>
      <c r="B280" s="692"/>
      <c r="H280" s="692"/>
      <c r="I280" s="692"/>
      <c r="J280" s="692"/>
      <c r="K280" s="692"/>
      <c r="L280" s="692"/>
      <c r="M280" s="692"/>
      <c r="Q280" s="692"/>
    </row>
    <row r="281" spans="1:17" hidden="1" x14ac:dyDescent="0.25">
      <c r="A281" s="692"/>
      <c r="B281" s="692"/>
      <c r="H281" s="692"/>
      <c r="I281" s="692"/>
      <c r="J281" s="692"/>
      <c r="K281" s="692"/>
      <c r="L281" s="692"/>
      <c r="M281" s="692"/>
      <c r="Q281" s="692"/>
    </row>
    <row r="282" spans="1:17" hidden="1" x14ac:dyDescent="0.25">
      <c r="A282" s="692"/>
      <c r="B282" s="692"/>
      <c r="H282" s="692"/>
      <c r="I282" s="692"/>
      <c r="J282" s="692"/>
      <c r="K282" s="692"/>
      <c r="L282" s="692"/>
      <c r="M282" s="692"/>
      <c r="Q282" s="692"/>
    </row>
    <row r="283" spans="1:17" hidden="1" x14ac:dyDescent="0.25">
      <c r="A283" s="692"/>
      <c r="B283" s="692"/>
      <c r="H283" s="692"/>
      <c r="I283" s="692"/>
      <c r="J283" s="692"/>
      <c r="K283" s="692"/>
      <c r="L283" s="692"/>
      <c r="M283" s="692"/>
      <c r="Q283" s="692"/>
    </row>
    <row r="284" spans="1:17" hidden="1" x14ac:dyDescent="0.25">
      <c r="A284" s="692"/>
      <c r="B284" s="692"/>
      <c r="H284" s="692"/>
      <c r="I284" s="692"/>
      <c r="J284" s="692"/>
      <c r="K284" s="692"/>
      <c r="L284" s="692"/>
      <c r="M284" s="692"/>
      <c r="Q284" s="692"/>
    </row>
    <row r="285" spans="1:17" hidden="1" x14ac:dyDescent="0.25">
      <c r="A285" s="692"/>
      <c r="B285" s="692"/>
      <c r="H285" s="692"/>
      <c r="I285" s="692"/>
      <c r="J285" s="692"/>
      <c r="K285" s="692"/>
      <c r="L285" s="692"/>
      <c r="M285" s="692"/>
      <c r="Q285" s="692"/>
    </row>
    <row r="286" spans="1:17" hidden="1" x14ac:dyDescent="0.25">
      <c r="A286" s="692"/>
      <c r="B286" s="692"/>
      <c r="H286" s="692"/>
      <c r="I286" s="692"/>
      <c r="J286" s="692"/>
      <c r="K286" s="692"/>
      <c r="L286" s="692"/>
      <c r="M286" s="692"/>
      <c r="Q286" s="692"/>
    </row>
    <row r="287" spans="1:17" hidden="1" x14ac:dyDescent="0.25">
      <c r="A287" s="692"/>
      <c r="B287" s="692"/>
      <c r="H287" s="692"/>
      <c r="I287" s="692"/>
      <c r="J287" s="692"/>
      <c r="K287" s="692"/>
      <c r="L287" s="692"/>
      <c r="M287" s="692"/>
      <c r="Q287" s="692"/>
    </row>
    <row r="288" spans="1:17" hidden="1" x14ac:dyDescent="0.25">
      <c r="A288" s="692"/>
      <c r="B288" s="692"/>
      <c r="H288" s="692"/>
      <c r="I288" s="692"/>
      <c r="J288" s="692"/>
      <c r="K288" s="692"/>
      <c r="L288" s="692"/>
      <c r="M288" s="692"/>
      <c r="Q288" s="692"/>
    </row>
    <row r="289" spans="17:17" hidden="1" x14ac:dyDescent="0.25">
      <c r="Q289" s="692"/>
    </row>
    <row r="290" spans="17:17" hidden="1" x14ac:dyDescent="0.25">
      <c r="Q290" s="692"/>
    </row>
    <row r="291" spans="17:17" x14ac:dyDescent="0.25">
      <c r="Q291" s="692"/>
    </row>
    <row r="292" spans="17:17" x14ac:dyDescent="0.25">
      <c r="Q292" s="692"/>
    </row>
    <row r="293" spans="17:17" x14ac:dyDescent="0.25">
      <c r="Q293" s="692"/>
    </row>
    <row r="294" spans="17:17" x14ac:dyDescent="0.25">
      <c r="Q294" s="692"/>
    </row>
    <row r="295" spans="17:17" x14ac:dyDescent="0.25">
      <c r="Q295" s="692"/>
    </row>
    <row r="296" spans="17:17" x14ac:dyDescent="0.25">
      <c r="Q296" s="692"/>
    </row>
  </sheetData>
  <mergeCells count="7">
    <mergeCell ref="C4:D4"/>
    <mergeCell ref="L38:L47"/>
    <mergeCell ref="K38:K47"/>
    <mergeCell ref="L48:L68"/>
    <mergeCell ref="K48:K68"/>
    <mergeCell ref="J48:J54"/>
    <mergeCell ref="J55:J60"/>
  </mergeCells>
  <phoneticPr fontId="58" type="noConversion"/>
  <conditionalFormatting sqref="G38:G166">
    <cfRule type="cellIs" dxfId="51" priority="65" operator="equal">
      <formula>"NOT COMPLIANT"</formula>
    </cfRule>
  </conditionalFormatting>
  <conditionalFormatting sqref="G117:H117">
    <cfRule type="cellIs" dxfId="50" priority="56" operator="equal">
      <formula>"NOT COMPLIANT"</formula>
    </cfRule>
  </conditionalFormatting>
  <conditionalFormatting sqref="G118">
    <cfRule type="cellIs" dxfId="49" priority="55" operator="equal">
      <formula>"NOT COMPLIANT"</formula>
    </cfRule>
  </conditionalFormatting>
  <conditionalFormatting sqref="H118">
    <cfRule type="cellIs" dxfId="48" priority="54" operator="equal">
      <formula>"NOT COMPLIANT"</formula>
    </cfRule>
  </conditionalFormatting>
  <conditionalFormatting sqref="F11:F19">
    <cfRule type="cellIs" dxfId="47" priority="52" operator="equal">
      <formula>"NOT COMPLIANT"</formula>
    </cfRule>
  </conditionalFormatting>
  <conditionalFormatting sqref="F21:F23">
    <cfRule type="cellIs" dxfId="46" priority="51" operator="equal">
      <formula>"NOT COMPLIANT"</formula>
    </cfRule>
  </conditionalFormatting>
  <conditionalFormatting sqref="F25:F31">
    <cfRule type="cellIs" dxfId="45" priority="50" operator="equal">
      <formula>"NOT COMPLIANT"</formula>
    </cfRule>
  </conditionalFormatting>
  <conditionalFormatting sqref="F32:F34">
    <cfRule type="cellIs" dxfId="44" priority="49" operator="equal">
      <formula>"NOT COMPLIANT"</formula>
    </cfRule>
  </conditionalFormatting>
  <conditionalFormatting sqref="H119:H120">
    <cfRule type="cellIs" dxfId="43" priority="48" operator="equal">
      <formula>"NOT COMPLIANT"</formula>
    </cfRule>
  </conditionalFormatting>
  <conditionalFormatting sqref="H121">
    <cfRule type="cellIs" dxfId="42" priority="46" operator="equal">
      <formula>"NOT COMPLIANT"</formula>
    </cfRule>
  </conditionalFormatting>
  <conditionalFormatting sqref="H122:H123">
    <cfRule type="cellIs" dxfId="41" priority="45" operator="equal">
      <formula>"NOT COMPLIANT"</formula>
    </cfRule>
  </conditionalFormatting>
  <conditionalFormatting sqref="H55">
    <cfRule type="cellIs" dxfId="40" priority="44" operator="equal">
      <formula>"NOT COMPLIANT"</formula>
    </cfRule>
  </conditionalFormatting>
  <conditionalFormatting sqref="H124:H125">
    <cfRule type="cellIs" dxfId="39" priority="43" operator="equal">
      <formula>"NOT COMPLIANT"</formula>
    </cfRule>
  </conditionalFormatting>
  <conditionalFormatting sqref="H56:H62">
    <cfRule type="cellIs" dxfId="38" priority="42" operator="equal">
      <formula>"NOT COMPLIANT"</formula>
    </cfRule>
  </conditionalFormatting>
  <conditionalFormatting sqref="H126">
    <cfRule type="cellIs" dxfId="37" priority="41" operator="equal">
      <formula>"NOT COMPLIANT"</formula>
    </cfRule>
  </conditionalFormatting>
  <conditionalFormatting sqref="H127">
    <cfRule type="cellIs" dxfId="36" priority="40" operator="equal">
      <formula>"NOT COMPLIANT"</formula>
    </cfRule>
  </conditionalFormatting>
  <conditionalFormatting sqref="H128">
    <cfRule type="cellIs" dxfId="35" priority="39" operator="equal">
      <formula>"NOT COMPLIANT"</formula>
    </cfRule>
  </conditionalFormatting>
  <conditionalFormatting sqref="H129">
    <cfRule type="cellIs" dxfId="34" priority="38" operator="equal">
      <formula>"NOT COMPLIANT"</formula>
    </cfRule>
  </conditionalFormatting>
  <conditionalFormatting sqref="H130">
    <cfRule type="cellIs" dxfId="33" priority="36" operator="equal">
      <formula>"NOT COMPLIANT"</formula>
    </cfRule>
  </conditionalFormatting>
  <conditionalFormatting sqref="H131">
    <cfRule type="cellIs" dxfId="32" priority="35" operator="equal">
      <formula>"NOT COMPLIANT"</formula>
    </cfRule>
  </conditionalFormatting>
  <conditionalFormatting sqref="H63:H64">
    <cfRule type="cellIs" dxfId="31" priority="34" operator="equal">
      <formula>"NOT COMPLIANT"</formula>
    </cfRule>
  </conditionalFormatting>
  <conditionalFormatting sqref="H132 H135 H140">
    <cfRule type="cellIs" dxfId="30" priority="33" operator="equal">
      <formula>"NOT COMPLIANT"</formula>
    </cfRule>
  </conditionalFormatting>
  <conditionalFormatting sqref="H133:H134">
    <cfRule type="cellIs" dxfId="29" priority="32" operator="equal">
      <formula>"NOT COMPLIANT"</formula>
    </cfRule>
  </conditionalFormatting>
  <conditionalFormatting sqref="H65">
    <cfRule type="cellIs" dxfId="28" priority="31" operator="equal">
      <formula>"NOT COMPLIANT"</formula>
    </cfRule>
  </conditionalFormatting>
  <conditionalFormatting sqref="H66">
    <cfRule type="cellIs" dxfId="27" priority="30" operator="equal">
      <formula>"NOT COMPLIANT"</formula>
    </cfRule>
  </conditionalFormatting>
  <conditionalFormatting sqref="H136:H138">
    <cfRule type="cellIs" dxfId="26" priority="29" operator="equal">
      <formula>"NOT COMPLIANT"</formula>
    </cfRule>
  </conditionalFormatting>
  <conditionalFormatting sqref="H67 H69:H70">
    <cfRule type="cellIs" dxfId="25" priority="28" operator="equal">
      <formula>"NOT COMPLIANT"</formula>
    </cfRule>
  </conditionalFormatting>
  <conditionalFormatting sqref="H68">
    <cfRule type="cellIs" dxfId="24" priority="27" operator="equal">
      <formula>"NOT COMPLIANT"</formula>
    </cfRule>
  </conditionalFormatting>
  <conditionalFormatting sqref="H139">
    <cfRule type="cellIs" dxfId="23" priority="26" operator="equal">
      <formula>"NOT COMPLIANT"</formula>
    </cfRule>
  </conditionalFormatting>
  <conditionalFormatting sqref="H90:H93 H95:H96">
    <cfRule type="cellIs" dxfId="22" priority="25" operator="equal">
      <formula>"NOT COMPLIANT"</formula>
    </cfRule>
  </conditionalFormatting>
  <conditionalFormatting sqref="H144">
    <cfRule type="cellIs" dxfId="21" priority="23" operator="equal">
      <formula>"NOT COMPLIANT"</formula>
    </cfRule>
  </conditionalFormatting>
  <conditionalFormatting sqref="H73">
    <cfRule type="cellIs" dxfId="20" priority="22" operator="equal">
      <formula>"NOT COMPLIANT"</formula>
    </cfRule>
  </conditionalFormatting>
  <conditionalFormatting sqref="G145:H145">
    <cfRule type="cellIs" dxfId="19" priority="20" operator="equal">
      <formula>"NOT COMPLIANT"</formula>
    </cfRule>
  </conditionalFormatting>
  <conditionalFormatting sqref="G74:H74">
    <cfRule type="cellIs" dxfId="18" priority="21" operator="equal">
      <formula>"NOT COMPLIANT"</formula>
    </cfRule>
  </conditionalFormatting>
  <conditionalFormatting sqref="G146:H146">
    <cfRule type="cellIs" dxfId="17" priority="19" operator="equal">
      <formula>"NOT COMPLIANT"</formula>
    </cfRule>
  </conditionalFormatting>
  <conditionalFormatting sqref="G148:H148">
    <cfRule type="cellIs" dxfId="16" priority="18" operator="equal">
      <formula>"NOT COMPLIANT"</formula>
    </cfRule>
  </conditionalFormatting>
  <conditionalFormatting sqref="G75:H75">
    <cfRule type="cellIs" dxfId="15" priority="17" operator="equal">
      <formula>"NOT COMPLIANT"</formula>
    </cfRule>
  </conditionalFormatting>
  <conditionalFormatting sqref="G76:H79">
    <cfRule type="cellIs" dxfId="14" priority="16" operator="equal">
      <formula>"NOT COMPLIANT"</formula>
    </cfRule>
  </conditionalFormatting>
  <conditionalFormatting sqref="H152">
    <cfRule type="cellIs" dxfId="13" priority="13" operator="equal">
      <formula>"NOT COMPLIANT"</formula>
    </cfRule>
  </conditionalFormatting>
  <conditionalFormatting sqref="H153:H155 H157">
    <cfRule type="cellIs" dxfId="12" priority="12" operator="equal">
      <formula>"NOT COMPLIANT"</formula>
    </cfRule>
  </conditionalFormatting>
  <conditionalFormatting sqref="H89">
    <cfRule type="cellIs" dxfId="11" priority="11" operator="equal">
      <formula>"NOT COMPLIANT"</formula>
    </cfRule>
  </conditionalFormatting>
  <conditionalFormatting sqref="H156">
    <cfRule type="cellIs" dxfId="10" priority="10" operator="equal">
      <formula>"NOT COMPLIANT"</formula>
    </cfRule>
  </conditionalFormatting>
  <conditionalFormatting sqref="H97">
    <cfRule type="cellIs" dxfId="9" priority="9" operator="equal">
      <formula>"NOT COMPLIANT"</formula>
    </cfRule>
  </conditionalFormatting>
  <conditionalFormatting sqref="H54">
    <cfRule type="cellIs" dxfId="8" priority="8" operator="equal">
      <formula>"NOT COMPLIANT"</formula>
    </cfRule>
  </conditionalFormatting>
  <conditionalFormatting sqref="H51">
    <cfRule type="cellIs" dxfId="7" priority="7" operator="equal">
      <formula>"NOT COMPLIANT"</formula>
    </cfRule>
  </conditionalFormatting>
  <conditionalFormatting sqref="H52">
    <cfRule type="cellIs" dxfId="6" priority="6" operator="equal">
      <formula>"NOT COMPLIANT"</formula>
    </cfRule>
  </conditionalFormatting>
  <conditionalFormatting sqref="H53">
    <cfRule type="cellIs" dxfId="5" priority="5" operator="equal">
      <formula>"NOT COMPLIANT"</formula>
    </cfRule>
  </conditionalFormatting>
  <conditionalFormatting sqref="H94">
    <cfRule type="cellIs" dxfId="4" priority="4" operator="equal">
      <formula>"NOT COMPLIANT"</formula>
    </cfRule>
  </conditionalFormatting>
  <conditionalFormatting sqref="H84">
    <cfRule type="cellIs" dxfId="3" priority="3" operator="equal">
      <formula>"NOT COMPLIANT"</formula>
    </cfRule>
  </conditionalFormatting>
  <conditionalFormatting sqref="E180">
    <cfRule type="cellIs" dxfId="2" priority="2" operator="equal">
      <formula>"NOT COMPLIANT"</formula>
    </cfRule>
  </conditionalFormatting>
  <pageMargins left="0.7" right="0.7" top="0.75" bottom="0.75" header="0.3" footer="0.3"/>
  <pageSetup paperSize="9" scale="60" fitToHeight="0" orientation="portrait" r:id="rId1"/>
  <drawing r:id="rId2"/>
  <legacyDrawing r:id="rId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K232"/>
  <sheetViews>
    <sheetView showGridLines="0" topLeftCell="A8" workbookViewId="0">
      <selection activeCell="A231" sqref="A231:A232"/>
    </sheetView>
  </sheetViews>
  <sheetFormatPr defaultColWidth="8.85546875" defaultRowHeight="15" x14ac:dyDescent="0.25"/>
  <cols>
    <col min="1" max="1" width="24.42578125" customWidth="1"/>
    <col min="2" max="2" width="11" customWidth="1"/>
    <col min="3" max="3" width="22.42578125" customWidth="1"/>
    <col min="4" max="4" width="12.28515625" customWidth="1"/>
    <col min="5" max="5" width="6.7109375" customWidth="1"/>
  </cols>
  <sheetData>
    <row r="1" spans="1:11" ht="55.5" customHeight="1" x14ac:dyDescent="0.35">
      <c r="A1" s="299" t="s">
        <v>2290</v>
      </c>
      <c r="B1" s="297"/>
      <c r="C1" s="297"/>
      <c r="D1" s="297"/>
      <c r="E1" s="297"/>
      <c r="F1" s="297"/>
      <c r="G1" s="297"/>
      <c r="H1" s="297"/>
      <c r="I1" s="297"/>
      <c r="J1" s="297"/>
      <c r="K1" s="297"/>
    </row>
    <row r="2" spans="1:11" ht="16.5" x14ac:dyDescent="0.3">
      <c r="A2" s="297"/>
      <c r="B2" s="297"/>
      <c r="C2" s="297"/>
      <c r="D2" s="297"/>
      <c r="E2" s="297"/>
      <c r="F2" s="297"/>
      <c r="G2" s="297"/>
      <c r="H2" s="297"/>
      <c r="I2" s="297"/>
      <c r="J2" s="297"/>
      <c r="K2" s="297"/>
    </row>
    <row r="3" spans="1:11" ht="16.5" x14ac:dyDescent="0.3">
      <c r="A3" s="298" t="s">
        <v>2291</v>
      </c>
      <c r="B3" s="297"/>
      <c r="C3" s="297"/>
      <c r="D3" s="297"/>
      <c r="E3" s="297"/>
      <c r="F3" s="297"/>
      <c r="G3" s="297"/>
      <c r="H3" s="297"/>
      <c r="I3" s="297"/>
      <c r="J3" s="297"/>
      <c r="K3" s="297"/>
    </row>
    <row r="4" spans="1:11" ht="16.5" x14ac:dyDescent="0.3">
      <c r="A4" s="297"/>
      <c r="B4" s="297"/>
      <c r="C4" s="297"/>
      <c r="D4" s="297"/>
      <c r="E4" s="297"/>
      <c r="F4" s="297"/>
      <c r="G4" s="297"/>
      <c r="H4" s="297"/>
      <c r="I4" s="297"/>
      <c r="J4" s="297"/>
      <c r="K4" s="297"/>
    </row>
    <row r="5" spans="1:11" ht="16.5" x14ac:dyDescent="0.3">
      <c r="A5" s="297"/>
      <c r="B5" s="297"/>
      <c r="C5" s="297"/>
      <c r="D5" s="297"/>
      <c r="E5" s="297"/>
      <c r="F5" s="297"/>
      <c r="G5" s="297"/>
      <c r="H5" s="297"/>
      <c r="I5" s="297"/>
      <c r="J5" s="297"/>
      <c r="K5" s="297"/>
    </row>
    <row r="6" spans="1:11" ht="18" x14ac:dyDescent="0.35">
      <c r="A6" s="312" t="s">
        <v>2292</v>
      </c>
      <c r="B6" s="297"/>
      <c r="C6" s="313"/>
      <c r="D6" s="314"/>
      <c r="E6" s="297"/>
      <c r="F6" s="313"/>
      <c r="G6" s="297"/>
      <c r="H6" s="297"/>
      <c r="I6" s="297"/>
      <c r="J6" s="297"/>
      <c r="K6" s="297"/>
    </row>
    <row r="7" spans="1:11" ht="16.5" x14ac:dyDescent="0.3">
      <c r="A7" s="315"/>
      <c r="B7" s="316">
        <v>1</v>
      </c>
      <c r="C7" s="313" t="s">
        <v>2293</v>
      </c>
      <c r="D7" s="317">
        <f>30.48*B7</f>
        <v>30.48</v>
      </c>
      <c r="E7" s="297"/>
      <c r="F7" s="313" t="s">
        <v>2294</v>
      </c>
      <c r="G7" s="297"/>
      <c r="H7" s="297"/>
      <c r="I7" s="297"/>
      <c r="J7" s="297"/>
      <c r="K7" s="297"/>
    </row>
    <row r="8" spans="1:11" ht="16.5" x14ac:dyDescent="0.3">
      <c r="A8" s="315"/>
      <c r="B8" s="316">
        <v>1</v>
      </c>
      <c r="C8" s="313" t="s">
        <v>2293</v>
      </c>
      <c r="D8" s="317">
        <f>B8*0.3048</f>
        <v>0.30480000000000002</v>
      </c>
      <c r="E8" s="297"/>
      <c r="F8" s="313" t="s">
        <v>2295</v>
      </c>
      <c r="G8" s="297"/>
      <c r="H8" s="297"/>
      <c r="I8" s="297"/>
      <c r="J8" s="297"/>
      <c r="K8" s="297"/>
    </row>
    <row r="9" spans="1:11" ht="16.5" x14ac:dyDescent="0.3">
      <c r="A9" s="315"/>
      <c r="B9" s="316">
        <v>1</v>
      </c>
      <c r="C9" s="313" t="s">
        <v>2296</v>
      </c>
      <c r="D9" s="317">
        <f>B9*25.4</f>
        <v>25.4</v>
      </c>
      <c r="E9" s="297"/>
      <c r="F9" s="313" t="s">
        <v>2297</v>
      </c>
      <c r="G9" s="297"/>
      <c r="H9" s="297"/>
      <c r="I9" s="297"/>
      <c r="J9" s="297"/>
      <c r="K9" s="297"/>
    </row>
    <row r="10" spans="1:11" ht="16.5" x14ac:dyDescent="0.3">
      <c r="A10" s="315"/>
      <c r="B10" s="316">
        <v>1</v>
      </c>
      <c r="C10" s="313" t="s">
        <v>2298</v>
      </c>
      <c r="D10" s="317">
        <f>B10*5280</f>
        <v>5280</v>
      </c>
      <c r="E10" s="297"/>
      <c r="F10" s="313" t="s">
        <v>2293</v>
      </c>
      <c r="G10" s="297"/>
      <c r="H10" s="297"/>
      <c r="I10" s="297"/>
      <c r="J10" s="297"/>
      <c r="K10" s="297"/>
    </row>
    <row r="11" spans="1:11" ht="16.5" x14ac:dyDescent="0.3">
      <c r="A11" s="315"/>
      <c r="B11" s="316">
        <v>1</v>
      </c>
      <c r="C11" s="313" t="s">
        <v>2298</v>
      </c>
      <c r="D11" s="317">
        <f>B11*1.609</f>
        <v>1.609</v>
      </c>
      <c r="E11" s="297"/>
      <c r="F11" s="313" t="s">
        <v>2299</v>
      </c>
      <c r="G11" s="297"/>
      <c r="H11" s="297"/>
      <c r="I11" s="297"/>
      <c r="J11" s="297"/>
      <c r="K11" s="297"/>
    </row>
    <row r="12" spans="1:11" ht="16.5" x14ac:dyDescent="0.3">
      <c r="A12" s="315"/>
      <c r="B12" s="316">
        <v>1</v>
      </c>
      <c r="C12" s="313" t="s">
        <v>2300</v>
      </c>
      <c r="D12" s="317">
        <f>B12*0.9144</f>
        <v>0.91439999999999999</v>
      </c>
      <c r="E12" s="297"/>
      <c r="F12" s="313" t="s">
        <v>2295</v>
      </c>
      <c r="G12" s="297"/>
      <c r="H12" s="297"/>
      <c r="I12" s="297"/>
      <c r="J12" s="297"/>
      <c r="K12" s="297"/>
    </row>
    <row r="13" spans="1:11" ht="16.5" x14ac:dyDescent="0.3">
      <c r="A13" s="315"/>
      <c r="B13" s="318"/>
      <c r="C13" s="297"/>
      <c r="D13" s="317"/>
      <c r="E13" s="297"/>
      <c r="F13" s="313"/>
      <c r="G13" s="297"/>
      <c r="H13" s="297"/>
      <c r="I13" s="297"/>
      <c r="J13" s="297"/>
      <c r="K13" s="297"/>
    </row>
    <row r="14" spans="1:11" ht="18" x14ac:dyDescent="0.35">
      <c r="A14" s="312" t="s">
        <v>2301</v>
      </c>
      <c r="B14" s="316">
        <v>1</v>
      </c>
      <c r="C14" s="313" t="s">
        <v>2302</v>
      </c>
      <c r="D14" s="319">
        <f>B14*1/2.471</f>
        <v>0.40469445568595708</v>
      </c>
      <c r="E14" s="297"/>
      <c r="F14" s="313" t="s">
        <v>2303</v>
      </c>
      <c r="G14" s="297"/>
      <c r="H14" s="297"/>
      <c r="I14" s="297"/>
      <c r="J14" s="297"/>
      <c r="K14" s="297"/>
    </row>
    <row r="15" spans="1:11" ht="16.5" x14ac:dyDescent="0.3">
      <c r="A15" s="315"/>
      <c r="B15" s="316">
        <v>1</v>
      </c>
      <c r="C15" s="313" t="s">
        <v>2302</v>
      </c>
      <c r="D15" s="320">
        <f>B15*43560</f>
        <v>43560</v>
      </c>
      <c r="E15" s="297"/>
      <c r="F15" s="313" t="s">
        <v>2304</v>
      </c>
      <c r="G15" s="297"/>
      <c r="H15" s="297"/>
      <c r="I15" s="297"/>
      <c r="J15" s="297"/>
      <c r="K15" s="297"/>
    </row>
    <row r="16" spans="1:11" ht="16.5" x14ac:dyDescent="0.3">
      <c r="A16" s="315"/>
      <c r="B16" s="316">
        <v>1</v>
      </c>
      <c r="C16" s="313" t="s">
        <v>2304</v>
      </c>
      <c r="D16" s="321">
        <f>B16*0.3048^2</f>
        <v>9.2903040000000006E-2</v>
      </c>
      <c r="E16" s="297"/>
      <c r="F16" s="313" t="s">
        <v>2305</v>
      </c>
      <c r="G16" s="297"/>
      <c r="H16" s="297"/>
      <c r="I16" s="297"/>
      <c r="J16" s="297"/>
      <c r="K16" s="297"/>
    </row>
    <row r="17" spans="1:11" ht="16.5" x14ac:dyDescent="0.3">
      <c r="A17" s="315"/>
      <c r="B17" s="318"/>
      <c r="C17" s="313"/>
      <c r="D17" s="322"/>
      <c r="E17" s="297"/>
      <c r="F17" s="313"/>
      <c r="G17" s="297"/>
      <c r="H17" s="297"/>
      <c r="I17" s="297"/>
      <c r="J17" s="297"/>
      <c r="K17" s="297"/>
    </row>
    <row r="18" spans="1:11" ht="18" x14ac:dyDescent="0.35">
      <c r="A18" s="312" t="s">
        <v>2306</v>
      </c>
      <c r="B18" s="318"/>
      <c r="C18" s="297"/>
      <c r="D18" s="323"/>
      <c r="E18" s="297"/>
      <c r="F18" s="297"/>
      <c r="G18" s="297"/>
      <c r="H18" s="297"/>
      <c r="I18" s="297"/>
      <c r="J18" s="297"/>
      <c r="K18" s="297"/>
    </row>
    <row r="19" spans="1:11" ht="16.5" x14ac:dyDescent="0.3">
      <c r="A19" s="315"/>
      <c r="B19" s="316">
        <v>1</v>
      </c>
      <c r="C19" s="313" t="s">
        <v>2307</v>
      </c>
      <c r="D19" s="317">
        <f>B19*28.32</f>
        <v>28.32</v>
      </c>
      <c r="E19" s="297"/>
      <c r="F19" s="313" t="s">
        <v>2308</v>
      </c>
      <c r="G19" s="297"/>
      <c r="H19" s="297"/>
      <c r="I19" s="297"/>
      <c r="J19" s="297"/>
      <c r="K19" s="297"/>
    </row>
    <row r="20" spans="1:11" ht="16.5" x14ac:dyDescent="0.3">
      <c r="A20" s="315"/>
      <c r="B20" s="316">
        <v>1</v>
      </c>
      <c r="C20" s="313" t="s">
        <v>2307</v>
      </c>
      <c r="D20" s="324">
        <f>B20*0.02832</f>
        <v>2.8320000000000001E-2</v>
      </c>
      <c r="E20" s="297"/>
      <c r="F20" s="313" t="s">
        <v>2309</v>
      </c>
      <c r="G20" s="297"/>
      <c r="H20" s="297"/>
      <c r="I20" s="297"/>
      <c r="J20" s="297"/>
      <c r="K20" s="297"/>
    </row>
    <row r="21" spans="1:11" ht="16.5" x14ac:dyDescent="0.3">
      <c r="A21" s="315"/>
      <c r="B21" s="316">
        <v>1</v>
      </c>
      <c r="C21" s="313" t="s">
        <v>2310</v>
      </c>
      <c r="D21" s="325">
        <f>B21*0.832669760893953</f>
        <v>0.83266976089395295</v>
      </c>
      <c r="E21" s="297"/>
      <c r="F21" s="313" t="s">
        <v>2311</v>
      </c>
      <c r="G21" s="297"/>
      <c r="H21" s="297"/>
      <c r="I21" s="297"/>
      <c r="J21" s="297"/>
      <c r="K21" s="297"/>
    </row>
    <row r="22" spans="1:11" ht="16.5" x14ac:dyDescent="0.3">
      <c r="A22" s="315"/>
      <c r="B22" s="316">
        <v>1</v>
      </c>
      <c r="C22" s="313" t="s">
        <v>2310</v>
      </c>
      <c r="D22" s="326">
        <f>B22*3.7854</f>
        <v>3.7854000000000001</v>
      </c>
      <c r="E22" s="297"/>
      <c r="F22" s="313" t="s">
        <v>2308</v>
      </c>
      <c r="G22" s="297"/>
      <c r="H22" s="297"/>
      <c r="I22" s="297"/>
      <c r="J22" s="297"/>
      <c r="K22" s="297"/>
    </row>
    <row r="23" spans="1:11" ht="16.5" x14ac:dyDescent="0.3">
      <c r="A23" s="315"/>
      <c r="B23" s="316">
        <v>1</v>
      </c>
      <c r="C23" s="313" t="s">
        <v>2311</v>
      </c>
      <c r="D23" s="319">
        <f>B23*0.1337/D21</f>
        <v>0.16056785808633173</v>
      </c>
      <c r="E23" s="297"/>
      <c r="F23" s="313" t="s">
        <v>2307</v>
      </c>
      <c r="G23" s="297"/>
      <c r="H23" s="297"/>
      <c r="I23" s="297"/>
      <c r="J23" s="297"/>
      <c r="K23" s="297"/>
    </row>
    <row r="24" spans="1:11" ht="16.5" x14ac:dyDescent="0.3">
      <c r="A24" s="315"/>
      <c r="B24" s="316">
        <v>1</v>
      </c>
      <c r="C24" s="313" t="s">
        <v>2311</v>
      </c>
      <c r="D24" s="327">
        <f>B24*0.003785/D21</f>
        <v>4.5456196174776782E-3</v>
      </c>
      <c r="E24" s="297"/>
      <c r="F24" s="313" t="s">
        <v>2309</v>
      </c>
      <c r="G24" s="297"/>
      <c r="H24" s="297"/>
      <c r="I24" s="297"/>
      <c r="J24" s="297"/>
      <c r="K24" s="297"/>
    </row>
    <row r="25" spans="1:11" ht="16.5" x14ac:dyDescent="0.3">
      <c r="A25" s="315"/>
      <c r="B25" s="316">
        <v>1</v>
      </c>
      <c r="C25" s="313" t="s">
        <v>2311</v>
      </c>
      <c r="D25" s="328">
        <f>B25*4.5461</f>
        <v>4.5461</v>
      </c>
      <c r="E25" s="297"/>
      <c r="F25" s="313" t="s">
        <v>2308</v>
      </c>
      <c r="G25" s="297"/>
      <c r="H25" s="297"/>
      <c r="I25" s="297"/>
      <c r="J25" s="297"/>
      <c r="K25" s="297"/>
    </row>
    <row r="26" spans="1:11" ht="16.5" x14ac:dyDescent="0.3">
      <c r="A26" s="315"/>
      <c r="B26" s="318"/>
      <c r="C26" s="297"/>
      <c r="D26" s="317"/>
      <c r="E26" s="297"/>
      <c r="F26" s="313"/>
      <c r="G26" s="297"/>
      <c r="H26" s="297"/>
      <c r="I26" s="297"/>
      <c r="J26" s="297"/>
      <c r="K26" s="297"/>
    </row>
    <row r="27" spans="1:11" ht="18" x14ac:dyDescent="0.35">
      <c r="A27" s="312" t="s">
        <v>2312</v>
      </c>
      <c r="B27" s="318"/>
      <c r="C27" s="313"/>
      <c r="D27" s="317"/>
      <c r="E27" s="297"/>
      <c r="F27" s="313"/>
      <c r="G27" s="297"/>
      <c r="H27" s="297"/>
      <c r="I27" s="297"/>
      <c r="J27" s="297"/>
      <c r="K27" s="297"/>
    </row>
    <row r="28" spans="1:11" ht="16.5" x14ac:dyDescent="0.3">
      <c r="A28" s="315"/>
      <c r="B28" s="316">
        <v>1</v>
      </c>
      <c r="C28" s="313" t="s">
        <v>2313</v>
      </c>
      <c r="D28" s="322">
        <f>B28*453.592</f>
        <v>453.59199999999998</v>
      </c>
      <c r="E28" s="297"/>
      <c r="F28" s="313" t="s">
        <v>2314</v>
      </c>
      <c r="G28" s="297"/>
      <c r="H28" s="297"/>
      <c r="I28" s="297"/>
      <c r="J28" s="297"/>
      <c r="K28" s="297"/>
    </row>
    <row r="29" spans="1:11" ht="16.5" x14ac:dyDescent="0.3">
      <c r="A29" s="315"/>
      <c r="B29" s="316">
        <v>1</v>
      </c>
      <c r="C29" s="313" t="s">
        <v>2315</v>
      </c>
      <c r="D29" s="317">
        <f>B29*907.18</f>
        <v>907.18</v>
      </c>
      <c r="E29" s="297"/>
      <c r="F29" s="313" t="s">
        <v>2316</v>
      </c>
      <c r="G29" s="297"/>
      <c r="H29" s="297"/>
      <c r="I29" s="297"/>
      <c r="J29" s="297"/>
      <c r="K29" s="297"/>
    </row>
    <row r="30" spans="1:11" ht="16.5" x14ac:dyDescent="0.3">
      <c r="A30" s="315"/>
      <c r="B30" s="316">
        <v>1</v>
      </c>
      <c r="C30" s="313" t="s">
        <v>2315</v>
      </c>
      <c r="D30" s="317">
        <f>B30*2000</f>
        <v>2000</v>
      </c>
      <c r="E30" s="297"/>
      <c r="F30" s="313" t="s">
        <v>2313</v>
      </c>
      <c r="G30" s="297"/>
      <c r="H30" s="297"/>
      <c r="I30" s="297"/>
      <c r="J30" s="297"/>
      <c r="K30" s="297"/>
    </row>
    <row r="31" spans="1:11" ht="16.5" x14ac:dyDescent="0.3">
      <c r="A31" s="315"/>
      <c r="B31" s="316">
        <v>1</v>
      </c>
      <c r="C31" s="313" t="s">
        <v>2315</v>
      </c>
      <c r="D31" s="326">
        <f>B31*0.90718</f>
        <v>0.90717999999999999</v>
      </c>
      <c r="E31" s="297"/>
      <c r="F31" s="313" t="s">
        <v>2317</v>
      </c>
      <c r="G31" s="297"/>
      <c r="H31" s="297"/>
      <c r="I31" s="297"/>
      <c r="J31" s="297"/>
      <c r="K31" s="297"/>
    </row>
    <row r="32" spans="1:11" ht="16.5" x14ac:dyDescent="0.3">
      <c r="A32" s="315"/>
      <c r="B32" s="318"/>
      <c r="C32" s="297"/>
      <c r="D32" s="323"/>
      <c r="E32" s="297"/>
      <c r="F32" s="297"/>
      <c r="G32" s="297"/>
      <c r="H32" s="297"/>
      <c r="I32" s="297"/>
      <c r="J32" s="297"/>
      <c r="K32" s="297"/>
    </row>
    <row r="33" spans="1:11" ht="18" x14ac:dyDescent="0.35">
      <c r="A33" s="312" t="s">
        <v>2318</v>
      </c>
      <c r="B33" s="318"/>
      <c r="C33" s="313"/>
      <c r="D33" s="326"/>
      <c r="E33" s="297"/>
      <c r="F33" s="313"/>
      <c r="G33" s="297"/>
      <c r="H33" s="297"/>
      <c r="I33" s="297"/>
      <c r="J33" s="297"/>
      <c r="K33" s="297"/>
    </row>
    <row r="34" spans="1:11" ht="16.5" x14ac:dyDescent="0.3">
      <c r="A34" s="315"/>
      <c r="B34" s="316">
        <v>1</v>
      </c>
      <c r="C34" s="313" t="s">
        <v>2319</v>
      </c>
      <c r="D34" s="329">
        <f>B34*0.000293083333333333</f>
        <v>2.9308333333333302E-4</v>
      </c>
      <c r="E34" s="297"/>
      <c r="F34" s="313" t="s">
        <v>2320</v>
      </c>
      <c r="G34" s="297"/>
      <c r="H34" s="297"/>
      <c r="I34" s="297"/>
      <c r="J34" s="297"/>
      <c r="K34" s="297"/>
    </row>
    <row r="35" spans="1:11" ht="16.5" x14ac:dyDescent="0.3">
      <c r="A35" s="315"/>
      <c r="B35" s="316">
        <v>1</v>
      </c>
      <c r="C35" s="313" t="s">
        <v>2319</v>
      </c>
      <c r="D35" s="317">
        <f>B35*1.0551</f>
        <v>1.0550999999999999</v>
      </c>
      <c r="E35" s="297"/>
      <c r="F35" s="313" t="s">
        <v>2321</v>
      </c>
      <c r="G35" s="297"/>
      <c r="H35" s="297"/>
      <c r="I35" s="297"/>
      <c r="J35" s="297"/>
      <c r="K35" s="297"/>
    </row>
    <row r="36" spans="1:11" ht="16.5" x14ac:dyDescent="0.3">
      <c r="A36" s="315"/>
      <c r="B36" s="316">
        <v>1</v>
      </c>
      <c r="C36" s="313" t="s">
        <v>2322</v>
      </c>
      <c r="D36" s="317">
        <f>B36*4.1868</f>
        <v>4.1867999999999999</v>
      </c>
      <c r="E36" s="297"/>
      <c r="F36" s="313" t="s">
        <v>2323</v>
      </c>
      <c r="G36" s="297"/>
      <c r="H36" s="297"/>
      <c r="I36" s="297"/>
      <c r="J36" s="297"/>
      <c r="K36" s="297"/>
    </row>
    <row r="37" spans="1:11" ht="16.5" x14ac:dyDescent="0.3">
      <c r="A37" s="315"/>
      <c r="B37" s="316">
        <v>1</v>
      </c>
      <c r="C37" s="313" t="s">
        <v>2324</v>
      </c>
      <c r="D37" s="317">
        <f>B37*0.001163</f>
        <v>1.163E-3</v>
      </c>
      <c r="E37" s="297"/>
      <c r="F37" s="313" t="s">
        <v>2320</v>
      </c>
      <c r="G37" s="297"/>
      <c r="H37" s="297"/>
      <c r="I37" s="297"/>
      <c r="J37" s="297"/>
      <c r="K37" s="297"/>
    </row>
    <row r="38" spans="1:11" ht="16.5" x14ac:dyDescent="0.3">
      <c r="A38" s="315"/>
      <c r="B38" s="316">
        <v>1</v>
      </c>
      <c r="C38" s="313" t="s">
        <v>2324</v>
      </c>
      <c r="D38" s="317">
        <f>B38*4186.8</f>
        <v>4186.8</v>
      </c>
      <c r="E38" s="297"/>
      <c r="F38" s="313" t="s">
        <v>2325</v>
      </c>
      <c r="G38" s="297"/>
      <c r="H38" s="297"/>
      <c r="I38" s="297"/>
      <c r="J38" s="297"/>
      <c r="K38" s="297"/>
    </row>
    <row r="39" spans="1:11" ht="16.5" x14ac:dyDescent="0.3">
      <c r="A39" s="315"/>
      <c r="B39" s="330"/>
      <c r="C39" s="313"/>
      <c r="D39" s="317"/>
      <c r="E39" s="297"/>
      <c r="F39" s="313"/>
      <c r="G39" s="297"/>
      <c r="H39" s="297"/>
      <c r="I39" s="297"/>
      <c r="J39" s="297"/>
      <c r="K39" s="297"/>
    </row>
    <row r="40" spans="1:11" ht="18" x14ac:dyDescent="0.35">
      <c r="A40" s="312" t="s">
        <v>2326</v>
      </c>
      <c r="B40" s="318"/>
      <c r="C40" s="313"/>
      <c r="D40" s="320"/>
      <c r="E40" s="297"/>
      <c r="F40" s="313"/>
      <c r="G40" s="297"/>
      <c r="H40" s="297"/>
      <c r="I40" s="297"/>
      <c r="J40" s="297"/>
      <c r="K40" s="297"/>
    </row>
    <row r="41" spans="1:11" ht="16.5" x14ac:dyDescent="0.3">
      <c r="A41" s="315"/>
      <c r="B41" s="316">
        <v>1</v>
      </c>
      <c r="C41" s="313" t="s">
        <v>2327</v>
      </c>
      <c r="D41" s="325">
        <f>+B41*0.0283127014102352</f>
        <v>2.8312701410235199E-2</v>
      </c>
      <c r="E41" s="297"/>
      <c r="F41" s="313" t="s">
        <v>2328</v>
      </c>
      <c r="G41" s="297"/>
      <c r="H41" s="297"/>
      <c r="I41" s="297"/>
      <c r="J41" s="297"/>
      <c r="K41" s="297"/>
    </row>
    <row r="42" spans="1:11" ht="16.5" x14ac:dyDescent="0.3">
      <c r="A42" s="315"/>
      <c r="B42" s="316">
        <v>1</v>
      </c>
      <c r="C42" s="313" t="s">
        <v>2327</v>
      </c>
      <c r="D42" s="325">
        <f>+B42*0.471878356837254</f>
        <v>0.47187835683725399</v>
      </c>
      <c r="E42" s="297"/>
      <c r="F42" s="313" t="s">
        <v>2329</v>
      </c>
      <c r="G42" s="297"/>
      <c r="H42" s="297"/>
      <c r="I42" s="297"/>
      <c r="J42" s="297"/>
      <c r="K42" s="297"/>
    </row>
    <row r="43" spans="1:11" ht="16.5" x14ac:dyDescent="0.3">
      <c r="A43" s="315"/>
      <c r="B43" s="316">
        <v>1</v>
      </c>
      <c r="C43" s="313" t="s">
        <v>2330</v>
      </c>
      <c r="D43" s="324">
        <f>B43*0.0283205890682526</f>
        <v>2.8320589068252602E-2</v>
      </c>
      <c r="E43" s="297"/>
      <c r="F43" s="313" t="s">
        <v>2331</v>
      </c>
      <c r="G43" s="297"/>
      <c r="H43" s="297"/>
      <c r="I43" s="297"/>
      <c r="J43" s="297"/>
      <c r="K43" s="297"/>
    </row>
    <row r="44" spans="1:11" ht="16.5" x14ac:dyDescent="0.3">
      <c r="A44" s="315"/>
      <c r="B44" s="316">
        <v>1</v>
      </c>
      <c r="C44" s="313" t="s">
        <v>2332</v>
      </c>
      <c r="D44" s="328">
        <f>+B44*0.227124</f>
        <v>0.22712399999999999</v>
      </c>
      <c r="E44" s="297"/>
      <c r="F44" s="313" t="s">
        <v>2328</v>
      </c>
      <c r="G44" s="297"/>
      <c r="H44" s="297"/>
      <c r="I44" s="297"/>
      <c r="J44" s="297"/>
      <c r="K44" s="297"/>
    </row>
    <row r="45" spans="1:11" ht="16.5" x14ac:dyDescent="0.3">
      <c r="A45" s="315"/>
      <c r="B45" s="316">
        <v>1</v>
      </c>
      <c r="C45" s="313" t="s">
        <v>2333</v>
      </c>
      <c r="D45" s="328">
        <f>+B45*0.272766</f>
        <v>0.27276600000000001</v>
      </c>
      <c r="E45" s="297"/>
      <c r="F45" s="313" t="s">
        <v>2328</v>
      </c>
      <c r="G45" s="297"/>
      <c r="H45" s="297"/>
      <c r="I45" s="297"/>
      <c r="J45" s="297"/>
      <c r="K45" s="297"/>
    </row>
    <row r="46" spans="1:11" ht="16.5" x14ac:dyDescent="0.3">
      <c r="A46" s="315"/>
      <c r="B46" s="318"/>
      <c r="C46" s="297"/>
      <c r="D46" s="323"/>
      <c r="E46" s="297"/>
      <c r="F46" s="297"/>
      <c r="G46" s="297"/>
      <c r="H46" s="297"/>
      <c r="I46" s="297"/>
      <c r="J46" s="297"/>
      <c r="K46" s="297"/>
    </row>
    <row r="47" spans="1:11" ht="18" x14ac:dyDescent="0.35">
      <c r="A47" s="312" t="s">
        <v>2334</v>
      </c>
      <c r="B47" s="331"/>
      <c r="C47" s="313"/>
      <c r="D47" s="317"/>
      <c r="E47" s="297"/>
      <c r="F47" s="313"/>
      <c r="G47" s="297"/>
      <c r="H47" s="297"/>
      <c r="I47" s="297"/>
      <c r="J47" s="297"/>
      <c r="K47" s="297"/>
    </row>
    <row r="48" spans="1:11" ht="16.5" x14ac:dyDescent="0.3">
      <c r="A48" s="315"/>
      <c r="B48" s="316">
        <v>1</v>
      </c>
      <c r="C48" s="313" t="s">
        <v>2335</v>
      </c>
      <c r="D48" s="332">
        <f>B48*1000/62.426</f>
        <v>16.01896645628424</v>
      </c>
      <c r="E48" s="297"/>
      <c r="F48" s="313" t="s">
        <v>2336</v>
      </c>
      <c r="G48" s="297"/>
      <c r="H48" s="297"/>
      <c r="I48" s="297"/>
      <c r="J48" s="297"/>
      <c r="K48" s="297"/>
    </row>
    <row r="49" spans="1:11" ht="16.5" x14ac:dyDescent="0.3">
      <c r="A49" s="315"/>
      <c r="B49" s="318"/>
      <c r="C49" s="297"/>
      <c r="D49" s="323"/>
      <c r="E49" s="297"/>
      <c r="F49" s="297"/>
      <c r="G49" s="297"/>
      <c r="H49" s="297"/>
      <c r="I49" s="297"/>
      <c r="J49" s="297"/>
      <c r="K49" s="297"/>
    </row>
    <row r="50" spans="1:11" ht="18" x14ac:dyDescent="0.35">
      <c r="A50" s="312" t="s">
        <v>2337</v>
      </c>
      <c r="B50" s="331"/>
      <c r="C50" s="313"/>
      <c r="D50" s="317"/>
      <c r="E50" s="297"/>
      <c r="F50" s="313"/>
      <c r="G50" s="297"/>
      <c r="H50" s="297"/>
      <c r="I50" s="297"/>
      <c r="J50" s="297"/>
      <c r="K50" s="297"/>
    </row>
    <row r="51" spans="1:11" ht="16.5" x14ac:dyDescent="0.3">
      <c r="A51" s="315"/>
      <c r="B51" s="316">
        <v>1</v>
      </c>
      <c r="C51" s="313" t="s">
        <v>2338</v>
      </c>
      <c r="D51" s="322">
        <f>B51*101.325</f>
        <v>101.325</v>
      </c>
      <c r="E51" s="297"/>
      <c r="F51" s="313" t="s">
        <v>2339</v>
      </c>
      <c r="G51" s="297"/>
      <c r="H51" s="297"/>
      <c r="I51" s="297"/>
      <c r="J51" s="297"/>
      <c r="K51" s="297"/>
    </row>
    <row r="52" spans="1:11" ht="16.5" x14ac:dyDescent="0.3">
      <c r="A52" s="315"/>
      <c r="B52" s="316">
        <v>1</v>
      </c>
      <c r="C52" s="313" t="s">
        <v>2338</v>
      </c>
      <c r="D52" s="333">
        <f>B52*10.32874617737</f>
        <v>10.32874617737</v>
      </c>
      <c r="E52" s="297"/>
      <c r="F52" s="313" t="s">
        <v>2340</v>
      </c>
      <c r="G52" s="297"/>
      <c r="H52" s="297"/>
      <c r="I52" s="297"/>
      <c r="J52" s="297"/>
      <c r="K52" s="297"/>
    </row>
    <row r="53" spans="1:11" ht="16.5" x14ac:dyDescent="0.3">
      <c r="A53" s="315"/>
      <c r="B53" s="316">
        <v>1</v>
      </c>
      <c r="C53" s="313" t="s">
        <v>2341</v>
      </c>
      <c r="D53" s="317">
        <f>B53*100</f>
        <v>100</v>
      </c>
      <c r="E53" s="297"/>
      <c r="F53" s="313" t="s">
        <v>2339</v>
      </c>
      <c r="G53" s="297"/>
      <c r="H53" s="297"/>
      <c r="I53" s="297"/>
      <c r="J53" s="297"/>
      <c r="K53" s="297"/>
    </row>
    <row r="54" spans="1:11" ht="16.5" x14ac:dyDescent="0.3">
      <c r="A54" s="315"/>
      <c r="B54" s="316">
        <v>1</v>
      </c>
      <c r="C54" s="313" t="s">
        <v>2341</v>
      </c>
      <c r="D54" s="317">
        <f>B54*0.9869</f>
        <v>0.9869</v>
      </c>
      <c r="E54" s="297"/>
      <c r="F54" s="313" t="s">
        <v>2338</v>
      </c>
      <c r="G54" s="297"/>
      <c r="H54" s="297"/>
      <c r="I54" s="297"/>
      <c r="J54" s="297"/>
      <c r="K54" s="297"/>
    </row>
    <row r="55" spans="1:11" ht="16.5" x14ac:dyDescent="0.3">
      <c r="A55" s="315"/>
      <c r="B55" s="316">
        <v>1</v>
      </c>
      <c r="C55" s="313" t="s">
        <v>2342</v>
      </c>
      <c r="D55" s="334">
        <f>B55*0.00009678</f>
        <v>9.6780000000000005E-5</v>
      </c>
      <c r="E55" s="297"/>
      <c r="F55" s="313" t="s">
        <v>2338</v>
      </c>
      <c r="G55" s="297"/>
      <c r="H55" s="297"/>
      <c r="I55" s="297"/>
      <c r="J55" s="297"/>
      <c r="K55" s="297"/>
    </row>
    <row r="56" spans="1:11" ht="16.5" x14ac:dyDescent="0.3">
      <c r="A56" s="315"/>
      <c r="B56" s="316">
        <v>1</v>
      </c>
      <c r="C56" s="313" t="s">
        <v>2343</v>
      </c>
      <c r="D56" s="317">
        <f>B56*0.9678</f>
        <v>0.96779999999999999</v>
      </c>
      <c r="E56" s="297"/>
      <c r="F56" s="313" t="s">
        <v>2338</v>
      </c>
      <c r="G56" s="297"/>
      <c r="H56" s="297"/>
      <c r="I56" s="297"/>
      <c r="J56" s="297"/>
      <c r="K56" s="297"/>
    </row>
    <row r="57" spans="1:11" ht="16.5" x14ac:dyDescent="0.3">
      <c r="A57" s="315"/>
      <c r="B57" s="316">
        <v>1</v>
      </c>
      <c r="C57" s="313" t="s">
        <v>2344</v>
      </c>
      <c r="D57" s="335">
        <f>B57*0.0680463853935356</f>
        <v>6.8046385393535594E-2</v>
      </c>
      <c r="E57" s="297"/>
      <c r="F57" s="313" t="s">
        <v>2338</v>
      </c>
      <c r="G57" s="297"/>
      <c r="H57" s="297"/>
      <c r="I57" s="297"/>
      <c r="J57" s="297"/>
      <c r="K57" s="297"/>
    </row>
    <row r="58" spans="1:11" ht="16.5" x14ac:dyDescent="0.3">
      <c r="A58" s="315"/>
      <c r="B58" s="316">
        <v>1</v>
      </c>
      <c r="C58" s="313" t="s">
        <v>2344</v>
      </c>
      <c r="D58" s="317">
        <f>B58*6.8948</f>
        <v>6.8948</v>
      </c>
      <c r="E58" s="297"/>
      <c r="F58" s="313" t="s">
        <v>2339</v>
      </c>
      <c r="G58" s="297"/>
      <c r="H58" s="297"/>
      <c r="I58" s="297"/>
      <c r="J58" s="297"/>
      <c r="K58" s="297"/>
    </row>
    <row r="59" spans="1:11" ht="16.5" x14ac:dyDescent="0.3">
      <c r="A59" s="315"/>
      <c r="B59" s="318"/>
      <c r="C59" s="313"/>
      <c r="D59" s="317"/>
      <c r="E59" s="297"/>
      <c r="F59" s="313"/>
      <c r="G59" s="297"/>
      <c r="H59" s="297"/>
      <c r="I59" s="297"/>
      <c r="J59" s="297"/>
      <c r="K59" s="297"/>
    </row>
    <row r="60" spans="1:11" ht="18" x14ac:dyDescent="0.35">
      <c r="A60" s="312" t="s">
        <v>2345</v>
      </c>
      <c r="B60" s="331"/>
      <c r="C60" s="297"/>
      <c r="D60" s="323"/>
      <c r="E60" s="297"/>
      <c r="F60" s="297"/>
      <c r="G60" s="297"/>
      <c r="H60" s="297"/>
      <c r="I60" s="297"/>
      <c r="J60" s="297"/>
      <c r="K60" s="297"/>
    </row>
    <row r="61" spans="1:11" ht="16.5" x14ac:dyDescent="0.3">
      <c r="A61" s="315"/>
      <c r="B61" s="316">
        <v>1</v>
      </c>
      <c r="C61" s="313" t="s">
        <v>2346</v>
      </c>
      <c r="D61" s="326">
        <f>B61*1.3558</f>
        <v>1.3557999999999999</v>
      </c>
      <c r="E61" s="297"/>
      <c r="F61" s="313" t="s">
        <v>2347</v>
      </c>
      <c r="G61" s="297"/>
      <c r="H61" s="297"/>
      <c r="I61" s="297"/>
      <c r="J61" s="297"/>
      <c r="K61" s="297"/>
    </row>
    <row r="62" spans="1:11" ht="16.5" x14ac:dyDescent="0.3">
      <c r="A62" s="315"/>
      <c r="B62" s="316">
        <v>1</v>
      </c>
      <c r="C62" s="313" t="s">
        <v>2348</v>
      </c>
      <c r="D62" s="317">
        <f>B62*0.7457</f>
        <v>0.74570000000000003</v>
      </c>
      <c r="E62" s="297"/>
      <c r="F62" s="313" t="s">
        <v>2349</v>
      </c>
      <c r="G62" s="297"/>
      <c r="H62" s="297"/>
      <c r="I62" s="297"/>
      <c r="J62" s="297"/>
      <c r="K62" s="297"/>
    </row>
    <row r="63" spans="1:11" ht="16.5" x14ac:dyDescent="0.3">
      <c r="A63" s="315"/>
      <c r="B63" s="323"/>
      <c r="C63" s="297"/>
      <c r="D63" s="323"/>
      <c r="E63" s="297"/>
      <c r="F63" s="297"/>
      <c r="G63" s="297"/>
      <c r="H63" s="297"/>
      <c r="I63" s="297"/>
      <c r="J63" s="297"/>
      <c r="K63" s="297"/>
    </row>
    <row r="64" spans="1:11" s="607" customFormat="1" ht="16.5" x14ac:dyDescent="0.3">
      <c r="A64" s="315"/>
      <c r="B64" s="323" t="s">
        <v>2350</v>
      </c>
      <c r="C64" s="297"/>
      <c r="D64" s="323"/>
      <c r="E64" s="297"/>
      <c r="F64" s="297"/>
      <c r="G64" s="297"/>
      <c r="H64" s="297"/>
      <c r="I64" s="297"/>
      <c r="J64" s="297"/>
      <c r="K64" s="297"/>
    </row>
    <row r="65" spans="1:11" s="607" customFormat="1" ht="16.5" x14ac:dyDescent="0.3">
      <c r="A65" s="315"/>
      <c r="B65" s="323" t="s">
        <v>2351</v>
      </c>
      <c r="C65" s="297"/>
      <c r="D65" s="323"/>
      <c r="E65" s="297"/>
      <c r="F65" s="297"/>
      <c r="G65" s="297"/>
      <c r="H65" s="297"/>
      <c r="I65" s="297"/>
      <c r="J65" s="297"/>
      <c r="K65" s="297"/>
    </row>
    <row r="66" spans="1:11" ht="16.5" x14ac:dyDescent="0.3">
      <c r="A66" s="692"/>
      <c r="B66" s="692"/>
      <c r="C66" s="297"/>
      <c r="D66" s="297"/>
      <c r="E66" s="297"/>
      <c r="F66" s="297"/>
      <c r="G66" s="297"/>
      <c r="H66" s="297"/>
      <c r="I66" s="297"/>
      <c r="J66" s="297"/>
      <c r="K66" s="297"/>
    </row>
    <row r="67" spans="1:11" x14ac:dyDescent="0.25">
      <c r="A67" s="300"/>
      <c r="B67" s="692" t="s">
        <v>2352</v>
      </c>
      <c r="C67" s="692" t="s">
        <v>2353</v>
      </c>
      <c r="D67" s="692"/>
      <c r="E67" s="692"/>
      <c r="F67" s="692"/>
      <c r="G67" s="692"/>
      <c r="H67" s="692"/>
      <c r="I67" s="692"/>
      <c r="J67" s="692"/>
      <c r="K67" s="692"/>
    </row>
    <row r="68" spans="1:11" x14ac:dyDescent="0.25">
      <c r="A68" s="300"/>
      <c r="B68" s="692" t="s">
        <v>2354</v>
      </c>
      <c r="C68" s="692" t="s">
        <v>2355</v>
      </c>
      <c r="D68" s="692"/>
      <c r="E68" s="692"/>
      <c r="F68" s="692"/>
      <c r="G68" s="692"/>
      <c r="H68" s="692"/>
      <c r="I68" s="692"/>
      <c r="J68" s="692"/>
      <c r="K68" s="692"/>
    </row>
    <row r="69" spans="1:11" x14ac:dyDescent="0.25">
      <c r="A69" s="300"/>
      <c r="B69" s="692" t="s">
        <v>2356</v>
      </c>
      <c r="C69" s="692" t="s">
        <v>2357</v>
      </c>
      <c r="D69" s="692"/>
      <c r="E69" s="692"/>
      <c r="F69" s="692"/>
      <c r="G69" s="692"/>
      <c r="H69" s="692"/>
      <c r="I69" s="692"/>
      <c r="J69" s="692"/>
      <c r="K69" s="692"/>
    </row>
    <row r="70" spans="1:11" x14ac:dyDescent="0.25">
      <c r="A70" s="692"/>
      <c r="B70" s="692" t="s">
        <v>2358</v>
      </c>
      <c r="C70" s="692" t="s">
        <v>2359</v>
      </c>
      <c r="D70" s="692"/>
      <c r="E70" s="692"/>
      <c r="F70" s="692"/>
      <c r="G70" s="692"/>
      <c r="H70" s="692"/>
      <c r="I70" s="692"/>
      <c r="J70" s="692"/>
      <c r="K70" s="692"/>
    </row>
    <row r="71" spans="1:11" x14ac:dyDescent="0.25">
      <c r="A71" s="692"/>
      <c r="B71" s="692" t="s">
        <v>2360</v>
      </c>
      <c r="C71" s="692" t="s">
        <v>2361</v>
      </c>
      <c r="D71" s="692"/>
      <c r="E71" s="692"/>
      <c r="F71" s="692"/>
      <c r="G71" s="692"/>
      <c r="H71" s="692"/>
      <c r="I71" s="692"/>
      <c r="J71" s="692"/>
      <c r="K71" s="692"/>
    </row>
    <row r="72" spans="1:11" x14ac:dyDescent="0.25">
      <c r="A72" s="692"/>
      <c r="B72" s="692" t="s">
        <v>2362</v>
      </c>
      <c r="C72" s="692" t="s">
        <v>2363</v>
      </c>
      <c r="D72" s="692"/>
      <c r="E72" s="692"/>
      <c r="F72" s="692"/>
      <c r="G72" s="692"/>
      <c r="H72" s="692"/>
      <c r="I72" s="692"/>
      <c r="J72" s="692"/>
      <c r="K72" s="692"/>
    </row>
    <row r="73" spans="1:11" x14ac:dyDescent="0.25">
      <c r="A73" s="692"/>
      <c r="B73" s="692" t="s">
        <v>2364</v>
      </c>
      <c r="C73" s="692" t="s">
        <v>2365</v>
      </c>
      <c r="D73" s="692"/>
      <c r="E73" s="692"/>
      <c r="F73" s="692"/>
      <c r="G73" s="692"/>
      <c r="H73" s="692"/>
      <c r="I73" s="692"/>
      <c r="J73" s="692"/>
      <c r="K73" s="692"/>
    </row>
    <row r="74" spans="1:11" x14ac:dyDescent="0.25">
      <c r="A74" s="692"/>
      <c r="B74" s="692" t="s">
        <v>2366</v>
      </c>
      <c r="C74" s="692" t="s">
        <v>2367</v>
      </c>
      <c r="D74" s="692"/>
      <c r="E74" s="692"/>
      <c r="F74" s="692"/>
      <c r="G74" s="692"/>
      <c r="H74" s="692"/>
      <c r="I74" s="692"/>
      <c r="J74" s="692"/>
      <c r="K74" s="692"/>
    </row>
    <row r="75" spans="1:11" x14ac:dyDescent="0.25">
      <c r="A75" s="692"/>
      <c r="B75" s="692" t="s">
        <v>2368</v>
      </c>
      <c r="C75" s="692" t="s">
        <v>2369</v>
      </c>
      <c r="D75" s="692"/>
      <c r="E75" s="692"/>
      <c r="F75" s="692"/>
      <c r="G75" s="692"/>
      <c r="H75" s="692"/>
      <c r="I75" s="692"/>
      <c r="J75" s="692"/>
      <c r="K75" s="692"/>
    </row>
    <row r="76" spans="1:11" x14ac:dyDescent="0.25">
      <c r="A76" s="692"/>
      <c r="B76" s="692" t="s">
        <v>2370</v>
      </c>
      <c r="C76" s="692" t="s">
        <v>2371</v>
      </c>
      <c r="D76" s="692"/>
      <c r="E76" s="692"/>
      <c r="F76" s="692"/>
      <c r="G76" s="692"/>
      <c r="H76" s="692"/>
      <c r="I76" s="692"/>
      <c r="J76" s="692"/>
      <c r="K76" s="692"/>
    </row>
    <row r="77" spans="1:11" x14ac:dyDescent="0.25">
      <c r="A77" s="692"/>
      <c r="B77" s="692" t="s">
        <v>2372</v>
      </c>
      <c r="C77" s="692" t="s">
        <v>2373</v>
      </c>
      <c r="D77" s="692"/>
      <c r="E77" s="692"/>
      <c r="F77" s="692"/>
      <c r="G77" s="692"/>
      <c r="H77" s="692"/>
      <c r="I77" s="692"/>
      <c r="J77" s="692"/>
      <c r="K77" s="692"/>
    </row>
    <row r="78" spans="1:11" x14ac:dyDescent="0.25">
      <c r="A78" s="692"/>
      <c r="B78" s="692" t="s">
        <v>2374</v>
      </c>
      <c r="C78" s="692" t="s">
        <v>2375</v>
      </c>
      <c r="D78" s="692"/>
      <c r="E78" s="692"/>
      <c r="F78" s="692"/>
      <c r="G78" s="692"/>
      <c r="H78" s="692"/>
      <c r="I78" s="692"/>
      <c r="J78" s="692"/>
      <c r="K78" s="692"/>
    </row>
    <row r="79" spans="1:11" x14ac:dyDescent="0.25">
      <c r="A79" s="692"/>
      <c r="B79" s="692" t="s">
        <v>2376</v>
      </c>
      <c r="C79" s="692" t="s">
        <v>2377</v>
      </c>
      <c r="D79" s="692"/>
      <c r="E79" s="692"/>
      <c r="F79" s="692"/>
      <c r="G79" s="692"/>
      <c r="H79" s="692"/>
      <c r="I79" s="692"/>
      <c r="J79" s="692"/>
      <c r="K79" s="692"/>
    </row>
    <row r="80" spans="1:11" x14ac:dyDescent="0.25">
      <c r="A80" s="692"/>
      <c r="B80" s="692" t="s">
        <v>2378</v>
      </c>
      <c r="C80" s="692" t="s">
        <v>2379</v>
      </c>
      <c r="D80" s="692"/>
      <c r="E80" s="692"/>
      <c r="F80" s="692"/>
      <c r="G80" s="692"/>
      <c r="H80" s="692"/>
      <c r="I80" s="692"/>
      <c r="J80" s="692"/>
      <c r="K80" s="692"/>
    </row>
    <row r="81" spans="2:3" x14ac:dyDescent="0.25">
      <c r="B81" s="692" t="s">
        <v>2380</v>
      </c>
      <c r="C81" s="692" t="s">
        <v>2381</v>
      </c>
    </row>
    <row r="82" spans="2:3" x14ac:dyDescent="0.25">
      <c r="B82" s="692" t="s">
        <v>2382</v>
      </c>
      <c r="C82" s="692" t="s">
        <v>2383</v>
      </c>
    </row>
    <row r="83" spans="2:3" x14ac:dyDescent="0.25">
      <c r="B83" s="692" t="s">
        <v>2384</v>
      </c>
      <c r="C83" s="692" t="s">
        <v>2385</v>
      </c>
    </row>
    <row r="84" spans="2:3" x14ac:dyDescent="0.25">
      <c r="B84" s="692" t="s">
        <v>2386</v>
      </c>
      <c r="C84" s="692" t="s">
        <v>2387</v>
      </c>
    </row>
    <row r="85" spans="2:3" x14ac:dyDescent="0.25">
      <c r="B85" s="692" t="s">
        <v>2388</v>
      </c>
      <c r="C85" s="692" t="s">
        <v>2389</v>
      </c>
    </row>
    <row r="86" spans="2:3" x14ac:dyDescent="0.25">
      <c r="B86" s="692" t="s">
        <v>2390</v>
      </c>
      <c r="C86" s="692" t="s">
        <v>2391</v>
      </c>
    </row>
    <row r="87" spans="2:3" x14ac:dyDescent="0.25">
      <c r="B87" s="692" t="s">
        <v>2392</v>
      </c>
      <c r="C87" s="692" t="s">
        <v>2393</v>
      </c>
    </row>
    <row r="88" spans="2:3" x14ac:dyDescent="0.25">
      <c r="B88" s="692" t="s">
        <v>2394</v>
      </c>
      <c r="C88" s="692" t="s">
        <v>2395</v>
      </c>
    </row>
    <row r="89" spans="2:3" x14ac:dyDescent="0.25">
      <c r="B89" s="692" t="s">
        <v>2396</v>
      </c>
      <c r="C89" s="692" t="s">
        <v>2397</v>
      </c>
    </row>
    <row r="90" spans="2:3" x14ac:dyDescent="0.25">
      <c r="B90" s="692" t="s">
        <v>2398</v>
      </c>
      <c r="C90" s="692" t="s">
        <v>2399</v>
      </c>
    </row>
    <row r="91" spans="2:3" x14ac:dyDescent="0.25">
      <c r="B91" s="692" t="s">
        <v>2400</v>
      </c>
      <c r="C91" s="692" t="s">
        <v>2401</v>
      </c>
    </row>
    <row r="92" spans="2:3" x14ac:dyDescent="0.25">
      <c r="B92" s="692" t="s">
        <v>2402</v>
      </c>
      <c r="C92" s="692" t="s">
        <v>2403</v>
      </c>
    </row>
    <row r="93" spans="2:3" x14ac:dyDescent="0.25">
      <c r="B93" s="692" t="s">
        <v>2404</v>
      </c>
      <c r="C93" s="692" t="s">
        <v>2405</v>
      </c>
    </row>
    <row r="94" spans="2:3" x14ac:dyDescent="0.25">
      <c r="B94" s="692" t="s">
        <v>2406</v>
      </c>
      <c r="C94" s="692" t="s">
        <v>2407</v>
      </c>
    </row>
    <row r="95" spans="2:3" x14ac:dyDescent="0.25">
      <c r="B95" s="692" t="s">
        <v>2408</v>
      </c>
      <c r="C95" s="692" t="s">
        <v>2409</v>
      </c>
    </row>
    <row r="96" spans="2:3" x14ac:dyDescent="0.25">
      <c r="B96" s="692" t="s">
        <v>2410</v>
      </c>
      <c r="C96" s="692" t="s">
        <v>2411</v>
      </c>
    </row>
    <row r="97" spans="2:3" x14ac:dyDescent="0.25">
      <c r="B97" s="692" t="s">
        <v>2412</v>
      </c>
      <c r="C97" s="692" t="s">
        <v>2413</v>
      </c>
    </row>
    <row r="98" spans="2:3" x14ac:dyDescent="0.25">
      <c r="B98" s="692" t="s">
        <v>2414</v>
      </c>
      <c r="C98" s="692" t="s">
        <v>2415</v>
      </c>
    </row>
    <row r="99" spans="2:3" x14ac:dyDescent="0.25">
      <c r="B99" s="692" t="s">
        <v>2416</v>
      </c>
      <c r="C99" s="692" t="s">
        <v>2417</v>
      </c>
    </row>
    <row r="100" spans="2:3" x14ac:dyDescent="0.25">
      <c r="B100" s="692" t="s">
        <v>2418</v>
      </c>
      <c r="C100" s="692" t="s">
        <v>2419</v>
      </c>
    </row>
    <row r="101" spans="2:3" x14ac:dyDescent="0.25">
      <c r="B101" s="692" t="s">
        <v>2420</v>
      </c>
      <c r="C101" s="692" t="s">
        <v>2421</v>
      </c>
    </row>
    <row r="102" spans="2:3" x14ac:dyDescent="0.25">
      <c r="B102" s="692" t="s">
        <v>2422</v>
      </c>
      <c r="C102" s="692" t="s">
        <v>2423</v>
      </c>
    </row>
    <row r="103" spans="2:3" x14ac:dyDescent="0.25">
      <c r="B103" s="692" t="s">
        <v>2424</v>
      </c>
      <c r="C103" s="692" t="s">
        <v>2425</v>
      </c>
    </row>
    <row r="104" spans="2:3" x14ac:dyDescent="0.25">
      <c r="B104" s="692" t="s">
        <v>2426</v>
      </c>
      <c r="C104" s="692" t="s">
        <v>2427</v>
      </c>
    </row>
    <row r="105" spans="2:3" x14ac:dyDescent="0.25">
      <c r="B105" s="692" t="s">
        <v>2428</v>
      </c>
      <c r="C105" s="692" t="s">
        <v>2429</v>
      </c>
    </row>
    <row r="106" spans="2:3" x14ac:dyDescent="0.25">
      <c r="B106" s="692" t="s">
        <v>2430</v>
      </c>
      <c r="C106" s="692" t="s">
        <v>2431</v>
      </c>
    </row>
    <row r="107" spans="2:3" x14ac:dyDescent="0.25">
      <c r="B107" s="692" t="s">
        <v>2432</v>
      </c>
      <c r="C107" s="692" t="s">
        <v>2433</v>
      </c>
    </row>
    <row r="108" spans="2:3" x14ac:dyDescent="0.25">
      <c r="B108" s="692" t="s">
        <v>2434</v>
      </c>
      <c r="C108" s="692" t="s">
        <v>2435</v>
      </c>
    </row>
    <row r="109" spans="2:3" x14ac:dyDescent="0.25">
      <c r="B109" s="692" t="s">
        <v>2436</v>
      </c>
      <c r="C109" s="692" t="s">
        <v>2437</v>
      </c>
    </row>
    <row r="110" spans="2:3" x14ac:dyDescent="0.25">
      <c r="B110" s="692" t="s">
        <v>2438</v>
      </c>
      <c r="C110" s="692" t="s">
        <v>2439</v>
      </c>
    </row>
    <row r="111" spans="2:3" x14ac:dyDescent="0.25">
      <c r="B111" s="692" t="s">
        <v>2440</v>
      </c>
      <c r="C111" s="692" t="s">
        <v>2441</v>
      </c>
    </row>
    <row r="112" spans="2:3" x14ac:dyDescent="0.25">
      <c r="B112" s="692" t="s">
        <v>2442</v>
      </c>
      <c r="C112" s="692" t="s">
        <v>2443</v>
      </c>
    </row>
    <row r="113" spans="2:3" x14ac:dyDescent="0.25">
      <c r="B113" s="692" t="s">
        <v>2444</v>
      </c>
      <c r="C113" s="692" t="s">
        <v>2445</v>
      </c>
    </row>
    <row r="114" spans="2:3" x14ac:dyDescent="0.25">
      <c r="B114" s="692" t="s">
        <v>2446</v>
      </c>
      <c r="C114" s="692" t="s">
        <v>2447</v>
      </c>
    </row>
    <row r="115" spans="2:3" x14ac:dyDescent="0.25">
      <c r="B115" s="692" t="s">
        <v>2448</v>
      </c>
      <c r="C115" s="692" t="s">
        <v>2449</v>
      </c>
    </row>
    <row r="116" spans="2:3" x14ac:dyDescent="0.25">
      <c r="B116" s="692" t="s">
        <v>2450</v>
      </c>
      <c r="C116" s="692" t="s">
        <v>2451</v>
      </c>
    </row>
    <row r="117" spans="2:3" x14ac:dyDescent="0.25">
      <c r="B117" s="692" t="s">
        <v>2452</v>
      </c>
      <c r="C117" s="692" t="s">
        <v>2453</v>
      </c>
    </row>
    <row r="118" spans="2:3" x14ac:dyDescent="0.25">
      <c r="B118" s="692" t="s">
        <v>2454</v>
      </c>
      <c r="C118" s="692" t="s">
        <v>2455</v>
      </c>
    </row>
    <row r="119" spans="2:3" x14ac:dyDescent="0.25">
      <c r="B119" s="692" t="s">
        <v>2456</v>
      </c>
      <c r="C119" s="692" t="s">
        <v>2457</v>
      </c>
    </row>
    <row r="120" spans="2:3" x14ac:dyDescent="0.25">
      <c r="B120" s="692" t="s">
        <v>2458</v>
      </c>
      <c r="C120" s="692" t="s">
        <v>2459</v>
      </c>
    </row>
    <row r="121" spans="2:3" x14ac:dyDescent="0.25">
      <c r="B121" s="692" t="s">
        <v>2460</v>
      </c>
      <c r="C121" s="692" t="s">
        <v>2461</v>
      </c>
    </row>
    <row r="122" spans="2:3" x14ac:dyDescent="0.25">
      <c r="B122" s="692" t="s">
        <v>2462</v>
      </c>
      <c r="C122" s="692" t="s">
        <v>2463</v>
      </c>
    </row>
    <row r="123" spans="2:3" x14ac:dyDescent="0.25">
      <c r="B123" s="692" t="s">
        <v>2464</v>
      </c>
      <c r="C123" s="692" t="s">
        <v>2465</v>
      </c>
    </row>
    <row r="124" spans="2:3" x14ac:dyDescent="0.25">
      <c r="B124" s="692" t="s">
        <v>2466</v>
      </c>
      <c r="C124" s="692" t="s">
        <v>2467</v>
      </c>
    </row>
    <row r="125" spans="2:3" x14ac:dyDescent="0.25">
      <c r="B125" s="692" t="s">
        <v>2468</v>
      </c>
      <c r="C125" s="692" t="s">
        <v>2469</v>
      </c>
    </row>
    <row r="126" spans="2:3" x14ac:dyDescent="0.25">
      <c r="B126" s="692" t="s">
        <v>2470</v>
      </c>
      <c r="C126" s="692" t="s">
        <v>2471</v>
      </c>
    </row>
    <row r="127" spans="2:3" x14ac:dyDescent="0.25">
      <c r="B127" s="692" t="s">
        <v>2472</v>
      </c>
      <c r="C127" s="692" t="s">
        <v>2473</v>
      </c>
    </row>
    <row r="128" spans="2:3" x14ac:dyDescent="0.25">
      <c r="B128" s="692" t="s">
        <v>2474</v>
      </c>
      <c r="C128" s="692" t="s">
        <v>2475</v>
      </c>
    </row>
    <row r="129" spans="2:3" x14ac:dyDescent="0.25">
      <c r="B129" s="692" t="s">
        <v>2476</v>
      </c>
      <c r="C129" s="692" t="s">
        <v>2477</v>
      </c>
    </row>
    <row r="130" spans="2:3" x14ac:dyDescent="0.25">
      <c r="B130" s="692" t="s">
        <v>2478</v>
      </c>
      <c r="C130" s="692" t="s">
        <v>2479</v>
      </c>
    </row>
    <row r="131" spans="2:3" x14ac:dyDescent="0.25">
      <c r="B131" s="692" t="s">
        <v>2480</v>
      </c>
      <c r="C131" s="692" t="s">
        <v>2481</v>
      </c>
    </row>
    <row r="132" spans="2:3" x14ac:dyDescent="0.25">
      <c r="B132" s="692" t="s">
        <v>2482</v>
      </c>
      <c r="C132" s="692" t="s">
        <v>2483</v>
      </c>
    </row>
    <row r="133" spans="2:3" x14ac:dyDescent="0.25">
      <c r="B133" s="692" t="s">
        <v>2484</v>
      </c>
      <c r="C133" s="692" t="s">
        <v>2485</v>
      </c>
    </row>
    <row r="134" spans="2:3" x14ac:dyDescent="0.25">
      <c r="B134" s="692" t="s">
        <v>2486</v>
      </c>
      <c r="C134" s="692" t="s">
        <v>2487</v>
      </c>
    </row>
    <row r="135" spans="2:3" x14ac:dyDescent="0.25">
      <c r="B135" s="692" t="s">
        <v>2488</v>
      </c>
      <c r="C135" s="692" t="s">
        <v>2489</v>
      </c>
    </row>
    <row r="136" spans="2:3" x14ac:dyDescent="0.25">
      <c r="B136" s="692" t="s">
        <v>2490</v>
      </c>
      <c r="C136" s="692" t="s">
        <v>2491</v>
      </c>
    </row>
    <row r="137" spans="2:3" x14ac:dyDescent="0.25">
      <c r="B137" s="692" t="s">
        <v>2492</v>
      </c>
      <c r="C137" s="692" t="s">
        <v>2493</v>
      </c>
    </row>
    <row r="138" spans="2:3" x14ac:dyDescent="0.25">
      <c r="B138" s="692" t="s">
        <v>2494</v>
      </c>
      <c r="C138" s="692" t="s">
        <v>2495</v>
      </c>
    </row>
    <row r="139" spans="2:3" x14ac:dyDescent="0.25">
      <c r="B139" s="692" t="s">
        <v>2496</v>
      </c>
      <c r="C139" s="692" t="s">
        <v>2497</v>
      </c>
    </row>
    <row r="140" spans="2:3" x14ac:dyDescent="0.25">
      <c r="B140" s="692" t="s">
        <v>2498</v>
      </c>
      <c r="C140" s="692" t="s">
        <v>2499</v>
      </c>
    </row>
    <row r="141" spans="2:3" x14ac:dyDescent="0.25">
      <c r="B141" s="692" t="s">
        <v>2500</v>
      </c>
      <c r="C141" s="692" t="s">
        <v>2501</v>
      </c>
    </row>
    <row r="142" spans="2:3" x14ac:dyDescent="0.25">
      <c r="B142" s="692" t="s">
        <v>2502</v>
      </c>
      <c r="C142" s="692" t="s">
        <v>2503</v>
      </c>
    </row>
    <row r="143" spans="2:3" x14ac:dyDescent="0.25">
      <c r="B143" s="692" t="s">
        <v>2504</v>
      </c>
      <c r="C143" s="692" t="s">
        <v>2505</v>
      </c>
    </row>
    <row r="144" spans="2:3" x14ac:dyDescent="0.25">
      <c r="B144" s="692" t="s">
        <v>2506</v>
      </c>
      <c r="C144" s="692" t="s">
        <v>2507</v>
      </c>
    </row>
    <row r="145" spans="2:3" x14ac:dyDescent="0.25">
      <c r="B145" s="692" t="s">
        <v>2508</v>
      </c>
      <c r="C145" s="692" t="s">
        <v>2509</v>
      </c>
    </row>
    <row r="146" spans="2:3" x14ac:dyDescent="0.25">
      <c r="B146" s="692" t="s">
        <v>2510</v>
      </c>
      <c r="C146" s="692" t="s">
        <v>2511</v>
      </c>
    </row>
    <row r="147" spans="2:3" x14ac:dyDescent="0.25">
      <c r="B147" s="692" t="s">
        <v>2512</v>
      </c>
      <c r="C147" s="692" t="s">
        <v>2513</v>
      </c>
    </row>
    <row r="148" spans="2:3" x14ac:dyDescent="0.25">
      <c r="B148" s="692" t="s">
        <v>2514</v>
      </c>
      <c r="C148" s="692" t="s">
        <v>2515</v>
      </c>
    </row>
    <row r="149" spans="2:3" x14ac:dyDescent="0.25">
      <c r="B149" s="692" t="s">
        <v>2516</v>
      </c>
      <c r="C149" s="692" t="s">
        <v>2517</v>
      </c>
    </row>
    <row r="150" spans="2:3" x14ac:dyDescent="0.25">
      <c r="B150" s="692" t="s">
        <v>2518</v>
      </c>
      <c r="C150" s="692" t="s">
        <v>2519</v>
      </c>
    </row>
    <row r="151" spans="2:3" x14ac:dyDescent="0.25">
      <c r="B151" s="692" t="s">
        <v>2520</v>
      </c>
      <c r="C151" s="692" t="s">
        <v>2521</v>
      </c>
    </row>
    <row r="152" spans="2:3" x14ac:dyDescent="0.25">
      <c r="B152" s="692" t="s">
        <v>2522</v>
      </c>
      <c r="C152" s="692" t="s">
        <v>2523</v>
      </c>
    </row>
    <row r="153" spans="2:3" x14ac:dyDescent="0.25">
      <c r="B153" s="692" t="s">
        <v>2524</v>
      </c>
      <c r="C153" s="692" t="s">
        <v>2525</v>
      </c>
    </row>
    <row r="154" spans="2:3" x14ac:dyDescent="0.25">
      <c r="B154" s="692" t="s">
        <v>2526</v>
      </c>
      <c r="C154" s="692" t="s">
        <v>2527</v>
      </c>
    </row>
    <row r="155" spans="2:3" x14ac:dyDescent="0.25">
      <c r="B155" s="692" t="s">
        <v>2528</v>
      </c>
      <c r="C155" s="692" t="s">
        <v>2529</v>
      </c>
    </row>
    <row r="156" spans="2:3" x14ac:dyDescent="0.25">
      <c r="B156" s="692" t="s">
        <v>2530</v>
      </c>
      <c r="C156" s="692" t="s">
        <v>2531</v>
      </c>
    </row>
    <row r="157" spans="2:3" x14ac:dyDescent="0.25">
      <c r="B157" s="692" t="s">
        <v>2532</v>
      </c>
      <c r="C157" s="692" t="s">
        <v>2533</v>
      </c>
    </row>
    <row r="158" spans="2:3" x14ac:dyDescent="0.25">
      <c r="B158" s="692" t="s">
        <v>2534</v>
      </c>
      <c r="C158" s="692" t="s">
        <v>2535</v>
      </c>
    </row>
    <row r="159" spans="2:3" x14ac:dyDescent="0.25">
      <c r="B159" s="692" t="s">
        <v>2536</v>
      </c>
      <c r="C159" s="692" t="s">
        <v>2537</v>
      </c>
    </row>
    <row r="160" spans="2:3" x14ac:dyDescent="0.25">
      <c r="B160" s="692" t="s">
        <v>2538</v>
      </c>
      <c r="C160" s="692" t="s">
        <v>2539</v>
      </c>
    </row>
    <row r="161" spans="2:3" x14ac:dyDescent="0.25">
      <c r="B161" s="692" t="s">
        <v>2540</v>
      </c>
      <c r="C161" s="692" t="s">
        <v>2541</v>
      </c>
    </row>
    <row r="162" spans="2:3" x14ac:dyDescent="0.25">
      <c r="B162" s="692" t="s">
        <v>2542</v>
      </c>
      <c r="C162" s="692" t="s">
        <v>2543</v>
      </c>
    </row>
    <row r="163" spans="2:3" x14ac:dyDescent="0.25">
      <c r="B163" s="692" t="s">
        <v>2544</v>
      </c>
      <c r="C163" s="692" t="s">
        <v>2545</v>
      </c>
    </row>
    <row r="164" spans="2:3" x14ac:dyDescent="0.25">
      <c r="B164" s="692" t="s">
        <v>2546</v>
      </c>
      <c r="C164" s="692" t="s">
        <v>2547</v>
      </c>
    </row>
    <row r="165" spans="2:3" x14ac:dyDescent="0.25">
      <c r="B165" s="692" t="s">
        <v>2548</v>
      </c>
      <c r="C165" s="692" t="s">
        <v>2549</v>
      </c>
    </row>
    <row r="166" spans="2:3" x14ac:dyDescent="0.25">
      <c r="B166" s="692" t="s">
        <v>2550</v>
      </c>
      <c r="C166" s="692" t="s">
        <v>2551</v>
      </c>
    </row>
    <row r="167" spans="2:3" x14ac:dyDescent="0.25">
      <c r="B167" s="692" t="s">
        <v>2552</v>
      </c>
      <c r="C167" s="692" t="s">
        <v>2553</v>
      </c>
    </row>
    <row r="168" spans="2:3" x14ac:dyDescent="0.25">
      <c r="B168" s="692" t="s">
        <v>2554</v>
      </c>
      <c r="C168" s="692" t="s">
        <v>2555</v>
      </c>
    </row>
    <row r="169" spans="2:3" x14ac:dyDescent="0.25">
      <c r="B169" s="692" t="s">
        <v>2556</v>
      </c>
      <c r="C169" s="692" t="s">
        <v>2557</v>
      </c>
    </row>
    <row r="170" spans="2:3" x14ac:dyDescent="0.25">
      <c r="B170" s="692" t="s">
        <v>2558</v>
      </c>
      <c r="C170" s="692" t="s">
        <v>2559</v>
      </c>
    </row>
    <row r="171" spans="2:3" x14ac:dyDescent="0.25">
      <c r="B171" s="692" t="s">
        <v>2560</v>
      </c>
      <c r="C171" s="692" t="s">
        <v>2561</v>
      </c>
    </row>
    <row r="172" spans="2:3" x14ac:dyDescent="0.25">
      <c r="B172" s="692" t="s">
        <v>2562</v>
      </c>
      <c r="C172" s="692" t="s">
        <v>2563</v>
      </c>
    </row>
    <row r="173" spans="2:3" x14ac:dyDescent="0.25">
      <c r="B173" s="692" t="s">
        <v>2564</v>
      </c>
      <c r="C173" s="692" t="s">
        <v>2565</v>
      </c>
    </row>
    <row r="174" spans="2:3" x14ac:dyDescent="0.25">
      <c r="B174" s="692" t="s">
        <v>2566</v>
      </c>
      <c r="C174" s="692" t="s">
        <v>2567</v>
      </c>
    </row>
    <row r="175" spans="2:3" x14ac:dyDescent="0.25">
      <c r="B175" s="692" t="s">
        <v>2568</v>
      </c>
      <c r="C175" s="692" t="s">
        <v>2569</v>
      </c>
    </row>
    <row r="176" spans="2:3" x14ac:dyDescent="0.25">
      <c r="B176" s="692" t="s">
        <v>2570</v>
      </c>
      <c r="C176" s="692" t="s">
        <v>2571</v>
      </c>
    </row>
    <row r="177" spans="2:3" x14ac:dyDescent="0.25">
      <c r="B177" s="692" t="s">
        <v>2572</v>
      </c>
      <c r="C177" s="692" t="s">
        <v>2573</v>
      </c>
    </row>
    <row r="178" spans="2:3" x14ac:dyDescent="0.25">
      <c r="B178" s="692" t="s">
        <v>2574</v>
      </c>
      <c r="C178" s="692" t="s">
        <v>2575</v>
      </c>
    </row>
    <row r="179" spans="2:3" x14ac:dyDescent="0.25">
      <c r="B179" s="692" t="s">
        <v>2576</v>
      </c>
      <c r="C179" s="692" t="s">
        <v>2577</v>
      </c>
    </row>
    <row r="180" spans="2:3" x14ac:dyDescent="0.25">
      <c r="B180" s="692" t="s">
        <v>2578</v>
      </c>
      <c r="C180" s="692" t="s">
        <v>2579</v>
      </c>
    </row>
    <row r="181" spans="2:3" x14ac:dyDescent="0.25">
      <c r="B181" s="692" t="s">
        <v>2580</v>
      </c>
      <c r="C181" s="692" t="s">
        <v>2581</v>
      </c>
    </row>
    <row r="182" spans="2:3" x14ac:dyDescent="0.25">
      <c r="B182" s="692" t="s">
        <v>2582</v>
      </c>
      <c r="C182" s="692" t="s">
        <v>2583</v>
      </c>
    </row>
    <row r="183" spans="2:3" x14ac:dyDescent="0.25">
      <c r="B183" s="692" t="s">
        <v>2584</v>
      </c>
      <c r="C183" s="692" t="s">
        <v>2585</v>
      </c>
    </row>
    <row r="184" spans="2:3" x14ac:dyDescent="0.25">
      <c r="B184" s="692" t="s">
        <v>2586</v>
      </c>
      <c r="C184" s="692" t="s">
        <v>2587</v>
      </c>
    </row>
    <row r="185" spans="2:3" x14ac:dyDescent="0.25">
      <c r="B185" s="692" t="s">
        <v>2588</v>
      </c>
      <c r="C185" s="692" t="s">
        <v>2589</v>
      </c>
    </row>
    <row r="186" spans="2:3" x14ac:dyDescent="0.25">
      <c r="B186" s="692" t="s">
        <v>2590</v>
      </c>
      <c r="C186" s="692" t="s">
        <v>2591</v>
      </c>
    </row>
    <row r="187" spans="2:3" x14ac:dyDescent="0.25">
      <c r="B187" s="692" t="s">
        <v>2592</v>
      </c>
      <c r="C187" s="692" t="s">
        <v>2593</v>
      </c>
    </row>
    <row r="188" spans="2:3" x14ac:dyDescent="0.25">
      <c r="B188" s="692" t="s">
        <v>2594</v>
      </c>
      <c r="C188" s="692" t="s">
        <v>2595</v>
      </c>
    </row>
    <row r="189" spans="2:3" x14ac:dyDescent="0.25">
      <c r="B189" s="692" t="s">
        <v>2596</v>
      </c>
      <c r="C189" s="692" t="s">
        <v>2597</v>
      </c>
    </row>
    <row r="190" spans="2:3" x14ac:dyDescent="0.25">
      <c r="B190" s="692" t="s">
        <v>2598</v>
      </c>
      <c r="C190" s="692" t="s">
        <v>2599</v>
      </c>
    </row>
    <row r="191" spans="2:3" x14ac:dyDescent="0.25">
      <c r="B191" s="692" t="s">
        <v>2600</v>
      </c>
      <c r="C191" s="692" t="s">
        <v>2601</v>
      </c>
    </row>
    <row r="192" spans="2:3" x14ac:dyDescent="0.25">
      <c r="B192" s="692" t="s">
        <v>2602</v>
      </c>
      <c r="C192" s="692" t="s">
        <v>2603</v>
      </c>
    </row>
    <row r="193" spans="2:3" x14ac:dyDescent="0.25">
      <c r="B193" s="692" t="s">
        <v>2604</v>
      </c>
      <c r="C193" s="692" t="s">
        <v>2605</v>
      </c>
    </row>
    <row r="194" spans="2:3" x14ac:dyDescent="0.25">
      <c r="B194" s="692" t="s">
        <v>2606</v>
      </c>
      <c r="C194" s="692" t="s">
        <v>2607</v>
      </c>
    </row>
    <row r="195" spans="2:3" x14ac:dyDescent="0.25">
      <c r="B195" s="692" t="s">
        <v>2608</v>
      </c>
      <c r="C195" s="692" t="s">
        <v>2609</v>
      </c>
    </row>
    <row r="196" spans="2:3" x14ac:dyDescent="0.25">
      <c r="B196" s="692" t="s">
        <v>2610</v>
      </c>
      <c r="C196" s="692" t="s">
        <v>2611</v>
      </c>
    </row>
    <row r="197" spans="2:3" x14ac:dyDescent="0.25">
      <c r="B197" s="692" t="s">
        <v>2612</v>
      </c>
      <c r="C197" s="692" t="s">
        <v>2613</v>
      </c>
    </row>
    <row r="198" spans="2:3" x14ac:dyDescent="0.25">
      <c r="B198" s="692" t="s">
        <v>2614</v>
      </c>
      <c r="C198" s="692" t="s">
        <v>2615</v>
      </c>
    </row>
    <row r="199" spans="2:3" x14ac:dyDescent="0.25">
      <c r="B199" s="692" t="s">
        <v>2616</v>
      </c>
      <c r="C199" s="692" t="s">
        <v>2617</v>
      </c>
    </row>
    <row r="200" spans="2:3" x14ac:dyDescent="0.25">
      <c r="B200" s="692" t="s">
        <v>2618</v>
      </c>
      <c r="C200" s="692" t="s">
        <v>2619</v>
      </c>
    </row>
    <row r="201" spans="2:3" x14ac:dyDescent="0.25">
      <c r="B201" s="692" t="s">
        <v>2620</v>
      </c>
      <c r="C201" s="692" t="s">
        <v>2621</v>
      </c>
    </row>
    <row r="202" spans="2:3" x14ac:dyDescent="0.25">
      <c r="B202" s="692" t="s">
        <v>2622</v>
      </c>
      <c r="C202" s="692" t="s">
        <v>2623</v>
      </c>
    </row>
    <row r="203" spans="2:3" x14ac:dyDescent="0.25">
      <c r="B203" s="692" t="s">
        <v>2624</v>
      </c>
      <c r="C203" s="692" t="s">
        <v>2625</v>
      </c>
    </row>
    <row r="204" spans="2:3" x14ac:dyDescent="0.25">
      <c r="B204" s="692" t="s">
        <v>2626</v>
      </c>
      <c r="C204" s="692" t="s">
        <v>2627</v>
      </c>
    </row>
    <row r="205" spans="2:3" x14ac:dyDescent="0.25">
      <c r="B205" s="692" t="s">
        <v>2628</v>
      </c>
      <c r="C205" s="692" t="s">
        <v>2629</v>
      </c>
    </row>
    <row r="206" spans="2:3" x14ac:dyDescent="0.25">
      <c r="B206" s="692" t="s">
        <v>2630</v>
      </c>
      <c r="C206" s="692" t="s">
        <v>2631</v>
      </c>
    </row>
    <row r="207" spans="2:3" x14ac:dyDescent="0.25">
      <c r="B207" s="692" t="s">
        <v>2632</v>
      </c>
      <c r="C207" s="692" t="s">
        <v>2633</v>
      </c>
    </row>
    <row r="208" spans="2:3" x14ac:dyDescent="0.25">
      <c r="B208" s="692" t="s">
        <v>2634</v>
      </c>
      <c r="C208" s="692" t="s">
        <v>2635</v>
      </c>
    </row>
    <row r="209" spans="2:3" x14ac:dyDescent="0.25">
      <c r="B209" s="692" t="s">
        <v>2636</v>
      </c>
      <c r="C209" s="692" t="s">
        <v>2637</v>
      </c>
    </row>
    <row r="210" spans="2:3" x14ac:dyDescent="0.25">
      <c r="B210" s="692" t="s">
        <v>2638</v>
      </c>
      <c r="C210" s="692" t="s">
        <v>2639</v>
      </c>
    </row>
    <row r="211" spans="2:3" x14ac:dyDescent="0.25">
      <c r="B211" s="692" t="s">
        <v>2640</v>
      </c>
      <c r="C211" s="692" t="s">
        <v>2641</v>
      </c>
    </row>
    <row r="212" spans="2:3" x14ac:dyDescent="0.25">
      <c r="B212" s="692" t="s">
        <v>2642</v>
      </c>
      <c r="C212" s="692" t="s">
        <v>2643</v>
      </c>
    </row>
    <row r="213" spans="2:3" x14ac:dyDescent="0.25">
      <c r="B213" s="692" t="s">
        <v>2644</v>
      </c>
      <c r="C213" s="692" t="s">
        <v>2645</v>
      </c>
    </row>
    <row r="214" spans="2:3" x14ac:dyDescent="0.25">
      <c r="B214" s="692" t="s">
        <v>2646</v>
      </c>
      <c r="C214" s="692" t="s">
        <v>2647</v>
      </c>
    </row>
    <row r="215" spans="2:3" x14ac:dyDescent="0.25">
      <c r="B215" s="692" t="s">
        <v>2648</v>
      </c>
      <c r="C215" s="692" t="s">
        <v>2649</v>
      </c>
    </row>
    <row r="216" spans="2:3" x14ac:dyDescent="0.25">
      <c r="B216" s="692" t="s">
        <v>2650</v>
      </c>
      <c r="C216" s="692" t="s">
        <v>2651</v>
      </c>
    </row>
    <row r="217" spans="2:3" x14ac:dyDescent="0.25">
      <c r="B217" s="692" t="s">
        <v>2652</v>
      </c>
      <c r="C217" s="692" t="s">
        <v>2653</v>
      </c>
    </row>
    <row r="218" spans="2:3" x14ac:dyDescent="0.25">
      <c r="B218" s="692" t="s">
        <v>2654</v>
      </c>
      <c r="C218" s="692" t="s">
        <v>2655</v>
      </c>
    </row>
    <row r="219" spans="2:3" x14ac:dyDescent="0.25">
      <c r="B219" s="692" t="s">
        <v>2656</v>
      </c>
      <c r="C219" s="692" t="s">
        <v>2657</v>
      </c>
    </row>
    <row r="220" spans="2:3" x14ac:dyDescent="0.25">
      <c r="B220" s="692" t="s">
        <v>2658</v>
      </c>
      <c r="C220" s="692" t="s">
        <v>2659</v>
      </c>
    </row>
    <row r="221" spans="2:3" x14ac:dyDescent="0.25">
      <c r="B221" s="692" t="s">
        <v>2660</v>
      </c>
      <c r="C221" s="692" t="s">
        <v>2661</v>
      </c>
    </row>
    <row r="222" spans="2:3" x14ac:dyDescent="0.25">
      <c r="B222" s="692" t="s">
        <v>2662</v>
      </c>
      <c r="C222" s="692" t="s">
        <v>2663</v>
      </c>
    </row>
    <row r="223" spans="2:3" x14ac:dyDescent="0.25">
      <c r="B223" s="692" t="s">
        <v>2664</v>
      </c>
      <c r="C223" s="692" t="s">
        <v>2665</v>
      </c>
    </row>
    <row r="224" spans="2:3" x14ac:dyDescent="0.25">
      <c r="B224" s="692" t="s">
        <v>2666</v>
      </c>
      <c r="C224" s="692" t="s">
        <v>2667</v>
      </c>
    </row>
    <row r="225" spans="1:3" x14ac:dyDescent="0.25">
      <c r="A225" s="692"/>
      <c r="B225" s="692" t="s">
        <v>2668</v>
      </c>
      <c r="C225" s="692" t="s">
        <v>2669</v>
      </c>
    </row>
    <row r="226" spans="1:3" x14ac:dyDescent="0.25">
      <c r="A226" s="692"/>
      <c r="B226" s="692" t="s">
        <v>2670</v>
      </c>
      <c r="C226" s="692" t="s">
        <v>2671</v>
      </c>
    </row>
    <row r="227" spans="1:3" x14ac:dyDescent="0.25">
      <c r="A227" s="692"/>
      <c r="B227" s="692" t="s">
        <v>2672</v>
      </c>
      <c r="C227" s="692" t="s">
        <v>2673</v>
      </c>
    </row>
    <row r="228" spans="1:3" x14ac:dyDescent="0.25">
      <c r="A228" s="692"/>
      <c r="B228" s="692" t="s">
        <v>2674</v>
      </c>
      <c r="C228" s="692" t="s">
        <v>2675</v>
      </c>
    </row>
    <row r="229" spans="1:3" x14ac:dyDescent="0.25">
      <c r="A229" s="692"/>
      <c r="B229" s="692" t="s">
        <v>2676</v>
      </c>
      <c r="C229" s="692" t="s">
        <v>2677</v>
      </c>
    </row>
    <row r="231" spans="1:3" ht="15.75" x14ac:dyDescent="0.3">
      <c r="A231" s="4" t="s">
        <v>201</v>
      </c>
      <c r="B231" s="692"/>
      <c r="C231" s="692"/>
    </row>
    <row r="232" spans="1:3" ht="15.75" x14ac:dyDescent="0.3">
      <c r="A232" s="4" t="s">
        <v>202</v>
      </c>
      <c r="B232" s="692"/>
      <c r="C232" s="692"/>
    </row>
  </sheetData>
  <pageMargins left="0.7" right="0.7" top="0.75" bottom="0.75" header="0.3" footer="0.3"/>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O21"/>
  <sheetViews>
    <sheetView showGridLines="0" topLeftCell="A2" workbookViewId="0">
      <selection activeCell="A9" sqref="A9"/>
    </sheetView>
  </sheetViews>
  <sheetFormatPr defaultColWidth="8.85546875" defaultRowHeight="15" x14ac:dyDescent="0.25"/>
  <cols>
    <col min="1" max="1" width="147.42578125" customWidth="1"/>
  </cols>
  <sheetData>
    <row r="1" spans="1:15" ht="57" customHeight="1" x14ac:dyDescent="0.35">
      <c r="A1" s="338" t="s">
        <v>2678</v>
      </c>
      <c r="B1" s="336"/>
      <c r="C1" s="336"/>
      <c r="D1" s="336"/>
      <c r="E1" s="336"/>
      <c r="F1" s="336"/>
      <c r="G1" s="336"/>
      <c r="H1" s="336"/>
      <c r="I1" s="336"/>
      <c r="J1" s="336"/>
      <c r="K1" s="336"/>
      <c r="L1" s="336"/>
      <c r="M1" s="336"/>
      <c r="N1" s="336"/>
      <c r="O1" s="337"/>
    </row>
    <row r="2" spans="1:15" ht="15.75" x14ac:dyDescent="0.3">
      <c r="A2" s="304"/>
      <c r="B2" s="304"/>
      <c r="C2" s="304"/>
      <c r="D2" s="304"/>
      <c r="E2" s="304"/>
      <c r="F2" s="304"/>
      <c r="G2" s="304"/>
      <c r="H2" s="304"/>
      <c r="I2" s="304"/>
      <c r="J2" s="304"/>
      <c r="K2" s="304"/>
      <c r="L2" s="304"/>
      <c r="M2" s="304"/>
      <c r="N2" s="304"/>
      <c r="O2" s="304"/>
    </row>
    <row r="3" spans="1:15" ht="18" customHeight="1" x14ac:dyDescent="0.3">
      <c r="A3" s="305" t="s">
        <v>2679</v>
      </c>
      <c r="B3" s="304"/>
      <c r="C3" s="304"/>
      <c r="D3" s="304"/>
      <c r="E3" s="304"/>
      <c r="F3" s="304"/>
      <c r="G3" s="304"/>
      <c r="H3" s="304"/>
      <c r="I3" s="304"/>
      <c r="J3" s="304"/>
      <c r="K3" s="304"/>
      <c r="L3" s="304"/>
      <c r="M3" s="304"/>
      <c r="N3" s="304"/>
      <c r="O3" s="304"/>
    </row>
    <row r="4" spans="1:15" ht="15.75" x14ac:dyDescent="0.3">
      <c r="A4" s="305" t="s">
        <v>2680</v>
      </c>
      <c r="B4" s="304"/>
      <c r="C4" s="304"/>
      <c r="D4" s="304"/>
      <c r="E4" s="304"/>
      <c r="F4" s="304"/>
      <c r="G4" s="304"/>
      <c r="H4" s="304"/>
      <c r="I4" s="304"/>
      <c r="J4" s="304"/>
      <c r="K4" s="304"/>
      <c r="L4" s="304"/>
      <c r="M4" s="304"/>
      <c r="N4" s="304"/>
      <c r="O4" s="304"/>
    </row>
    <row r="5" spans="1:15" ht="30" x14ac:dyDescent="0.3">
      <c r="A5" s="305" t="s">
        <v>2681</v>
      </c>
      <c r="B5" s="304"/>
      <c r="C5" s="304"/>
      <c r="D5" s="304"/>
      <c r="E5" s="304"/>
      <c r="F5" s="304"/>
      <c r="G5" s="304"/>
      <c r="H5" s="304"/>
      <c r="I5" s="304"/>
      <c r="J5" s="304"/>
      <c r="K5" s="304"/>
      <c r="L5" s="304"/>
      <c r="M5" s="304"/>
      <c r="N5" s="304"/>
      <c r="O5" s="304"/>
    </row>
    <row r="6" spans="1:15" ht="30" x14ac:dyDescent="0.3">
      <c r="A6" s="305" t="s">
        <v>2682</v>
      </c>
      <c r="B6" s="304"/>
      <c r="C6" s="304"/>
      <c r="D6" s="304"/>
      <c r="E6" s="304"/>
      <c r="F6" s="304"/>
      <c r="G6" s="304"/>
      <c r="H6" s="304"/>
      <c r="I6" s="304"/>
      <c r="J6" s="304"/>
      <c r="K6" s="304"/>
      <c r="L6" s="304"/>
      <c r="M6" s="304"/>
      <c r="N6" s="304"/>
      <c r="O6" s="304"/>
    </row>
    <row r="7" spans="1:15" ht="30" x14ac:dyDescent="0.3">
      <c r="A7" s="305" t="s">
        <v>2683</v>
      </c>
      <c r="B7" s="304"/>
      <c r="C7" s="304"/>
      <c r="D7" s="304"/>
      <c r="E7" s="304"/>
      <c r="F7" s="304"/>
      <c r="G7" s="304"/>
      <c r="H7" s="304"/>
      <c r="I7" s="304"/>
      <c r="J7" s="304"/>
      <c r="K7" s="304"/>
      <c r="L7" s="304"/>
      <c r="M7" s="304"/>
      <c r="N7" s="304"/>
      <c r="O7" s="304"/>
    </row>
    <row r="8" spans="1:15" ht="30.75" x14ac:dyDescent="0.3">
      <c r="A8" s="308" t="s">
        <v>2684</v>
      </c>
      <c r="B8" s="304"/>
      <c r="C8" s="304"/>
      <c r="D8" s="304"/>
      <c r="E8" s="304"/>
      <c r="F8" s="304"/>
      <c r="G8" s="304"/>
      <c r="H8" s="304"/>
      <c r="I8" s="304"/>
      <c r="J8" s="304"/>
      <c r="K8" s="304"/>
      <c r="L8" s="304"/>
      <c r="M8" s="304"/>
      <c r="N8" s="304"/>
      <c r="O8" s="304"/>
    </row>
    <row r="9" spans="1:15" ht="15.75" x14ac:dyDescent="0.3">
      <c r="A9" s="305" t="s">
        <v>2685</v>
      </c>
      <c r="B9" s="304"/>
      <c r="C9" s="304"/>
      <c r="D9" s="304"/>
      <c r="E9" s="304"/>
      <c r="F9" s="304"/>
      <c r="G9" s="304"/>
      <c r="H9" s="304"/>
      <c r="I9" s="304"/>
      <c r="J9" s="304"/>
      <c r="K9" s="304"/>
      <c r="L9" s="304"/>
      <c r="M9" s="304"/>
      <c r="N9" s="304"/>
      <c r="O9" s="304"/>
    </row>
    <row r="10" spans="1:15" ht="30" x14ac:dyDescent="0.3">
      <c r="A10" s="305" t="s">
        <v>2686</v>
      </c>
      <c r="B10" s="304"/>
      <c r="C10" s="304"/>
      <c r="D10" s="304"/>
      <c r="E10" s="304"/>
      <c r="F10" s="304"/>
      <c r="G10" s="304"/>
      <c r="H10" s="304"/>
      <c r="I10" s="304"/>
      <c r="J10" s="304"/>
      <c r="K10" s="304"/>
      <c r="L10" s="304"/>
      <c r="M10" s="304"/>
      <c r="N10" s="304"/>
      <c r="O10" s="304"/>
    </row>
    <row r="11" spans="1:15" ht="30" x14ac:dyDescent="0.3">
      <c r="A11" s="306" t="s">
        <v>2687</v>
      </c>
      <c r="B11" s="304"/>
      <c r="C11" s="304"/>
      <c r="D11" s="304"/>
      <c r="E11" s="304"/>
      <c r="F11" s="304"/>
      <c r="G11" s="304"/>
      <c r="H11" s="304"/>
      <c r="I11" s="304"/>
      <c r="J11" s="304"/>
      <c r="K11" s="304"/>
      <c r="L11" s="304"/>
      <c r="M11" s="304"/>
      <c r="N11" s="304"/>
      <c r="O11" s="304"/>
    </row>
    <row r="12" spans="1:15" ht="15.75" x14ac:dyDescent="0.3">
      <c r="A12" s="304"/>
      <c r="B12" s="304"/>
      <c r="C12" s="304"/>
      <c r="D12" s="304"/>
      <c r="E12" s="304"/>
      <c r="F12" s="304"/>
      <c r="G12" s="304"/>
      <c r="H12" s="304"/>
      <c r="I12" s="304"/>
      <c r="J12" s="304"/>
      <c r="K12" s="304"/>
      <c r="L12" s="304"/>
      <c r="M12" s="304"/>
      <c r="N12" s="304"/>
      <c r="O12" s="304"/>
    </row>
    <row r="13" spans="1:15" ht="15.75" x14ac:dyDescent="0.3">
      <c r="A13" s="304"/>
      <c r="B13" s="304"/>
      <c r="C13" s="304"/>
      <c r="D13" s="304"/>
      <c r="E13" s="304"/>
      <c r="F13" s="304"/>
      <c r="G13" s="304"/>
      <c r="H13" s="304"/>
      <c r="I13" s="304"/>
      <c r="J13" s="304"/>
      <c r="K13" s="304"/>
      <c r="L13" s="304"/>
      <c r="M13" s="304"/>
      <c r="N13" s="304"/>
      <c r="O13" s="304"/>
    </row>
    <row r="14" spans="1:15" ht="15.75" x14ac:dyDescent="0.3">
      <c r="A14" s="304"/>
      <c r="B14" s="304"/>
      <c r="C14" s="304"/>
      <c r="D14" s="304"/>
      <c r="E14" s="304"/>
      <c r="F14" s="304"/>
      <c r="G14" s="304"/>
      <c r="H14" s="304"/>
      <c r="I14" s="304"/>
      <c r="J14" s="304"/>
      <c r="K14" s="304"/>
      <c r="L14" s="304"/>
      <c r="M14" s="304"/>
      <c r="N14" s="304"/>
      <c r="O14" s="304"/>
    </row>
    <row r="15" spans="1:15" ht="15.75" x14ac:dyDescent="0.3">
      <c r="A15" s="4" t="s">
        <v>201</v>
      </c>
      <c r="B15" s="304"/>
      <c r="C15" s="304"/>
      <c r="D15" s="304"/>
      <c r="E15" s="304"/>
      <c r="F15" s="304"/>
      <c r="G15" s="304"/>
      <c r="H15" s="304"/>
      <c r="I15" s="304"/>
      <c r="J15" s="304"/>
      <c r="K15" s="304"/>
      <c r="L15" s="304"/>
      <c r="M15" s="304"/>
      <c r="N15" s="304"/>
      <c r="O15" s="304"/>
    </row>
    <row r="16" spans="1:15" ht="15.75" x14ac:dyDescent="0.3">
      <c r="A16" s="4" t="s">
        <v>202</v>
      </c>
      <c r="B16" s="304"/>
      <c r="C16" s="304"/>
      <c r="D16" s="304"/>
      <c r="E16" s="304"/>
      <c r="F16" s="304"/>
      <c r="G16" s="304"/>
      <c r="H16" s="304"/>
      <c r="I16" s="304"/>
      <c r="J16" s="304"/>
      <c r="K16" s="304"/>
      <c r="L16" s="304"/>
      <c r="M16" s="304"/>
      <c r="N16" s="304"/>
      <c r="O16" s="304"/>
    </row>
    <row r="17" spans="1:15" ht="15.75" x14ac:dyDescent="0.3">
      <c r="A17" s="304"/>
      <c r="B17" s="304"/>
      <c r="C17" s="304"/>
      <c r="D17" s="304"/>
      <c r="E17" s="304"/>
      <c r="F17" s="304"/>
      <c r="G17" s="304"/>
      <c r="H17" s="304"/>
      <c r="I17" s="304"/>
      <c r="J17" s="304"/>
      <c r="K17" s="304"/>
      <c r="L17" s="304"/>
      <c r="M17" s="304"/>
      <c r="N17" s="304"/>
      <c r="O17" s="304"/>
    </row>
    <row r="18" spans="1:15" ht="15.75" x14ac:dyDescent="0.3">
      <c r="A18" s="304"/>
      <c r="B18" s="304"/>
      <c r="C18" s="304"/>
      <c r="D18" s="304"/>
      <c r="E18" s="304"/>
      <c r="F18" s="304"/>
      <c r="G18" s="304"/>
      <c r="H18" s="304"/>
      <c r="I18" s="304"/>
      <c r="J18" s="304"/>
      <c r="K18" s="304"/>
      <c r="L18" s="304"/>
      <c r="M18" s="304"/>
      <c r="N18" s="304"/>
      <c r="O18" s="304"/>
    </row>
    <row r="19" spans="1:15" ht="15.75" x14ac:dyDescent="0.3">
      <c r="A19" s="304"/>
      <c r="B19" s="304"/>
      <c r="C19" s="304"/>
      <c r="D19" s="304"/>
      <c r="E19" s="304"/>
      <c r="F19" s="304"/>
      <c r="G19" s="304"/>
      <c r="H19" s="304"/>
      <c r="I19" s="304"/>
      <c r="J19" s="304"/>
      <c r="K19" s="304"/>
      <c r="L19" s="304"/>
      <c r="M19" s="304"/>
      <c r="N19" s="304"/>
      <c r="O19" s="304"/>
    </row>
    <row r="20" spans="1:15" ht="15.75" x14ac:dyDescent="0.3">
      <c r="A20" s="304"/>
      <c r="B20" s="304"/>
      <c r="C20" s="304"/>
      <c r="D20" s="304"/>
      <c r="E20" s="304"/>
      <c r="F20" s="304"/>
      <c r="G20" s="304"/>
      <c r="H20" s="304"/>
      <c r="I20" s="304"/>
      <c r="J20" s="304"/>
      <c r="K20" s="304"/>
      <c r="L20" s="304"/>
      <c r="M20" s="304"/>
      <c r="N20" s="304"/>
      <c r="O20" s="304"/>
    </row>
    <row r="21" spans="1:15" ht="15.75" x14ac:dyDescent="0.3">
      <c r="A21" s="304"/>
      <c r="B21" s="304"/>
      <c r="C21" s="304"/>
      <c r="D21" s="304"/>
      <c r="E21" s="304"/>
      <c r="F21" s="304"/>
      <c r="G21" s="304"/>
      <c r="H21" s="304"/>
      <c r="I21" s="304"/>
      <c r="J21" s="304"/>
      <c r="K21" s="304"/>
      <c r="L21" s="304"/>
      <c r="M21" s="304"/>
      <c r="N21" s="304"/>
      <c r="O21" s="304"/>
    </row>
  </sheetData>
  <pageMargins left="0.7" right="0.7" top="0.75" bottom="0.75" header="0.3" footer="0.3"/>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D39"/>
  <sheetViews>
    <sheetView showGridLines="0" workbookViewId="0">
      <selection activeCell="A38" sqref="A38:A39"/>
    </sheetView>
  </sheetViews>
  <sheetFormatPr defaultColWidth="8.85546875" defaultRowHeight="15" x14ac:dyDescent="0.25"/>
  <cols>
    <col min="1" max="1" width="24.42578125" customWidth="1"/>
    <col min="2" max="2" width="7.42578125" customWidth="1"/>
    <col min="3" max="3" width="33.140625" bestFit="1" customWidth="1"/>
  </cols>
  <sheetData>
    <row r="1" spans="1:4" ht="23.25" x14ac:dyDescent="0.35">
      <c r="A1" s="299" t="s">
        <v>2688</v>
      </c>
      <c r="B1" s="297"/>
      <c r="C1" s="297"/>
      <c r="D1" s="692"/>
    </row>
    <row r="2" spans="1:4" ht="41.25" customHeight="1" x14ac:dyDescent="0.25">
      <c r="A2" s="692"/>
      <c r="B2" s="692"/>
      <c r="C2" s="692"/>
      <c r="D2" s="692"/>
    </row>
    <row r="3" spans="1:4" ht="15.75" x14ac:dyDescent="0.3">
      <c r="A3" s="301" t="s">
        <v>2689</v>
      </c>
      <c r="B3" s="710"/>
      <c r="C3" s="56"/>
      <c r="D3" s="710"/>
    </row>
    <row r="4" spans="1:4" ht="15.75" x14ac:dyDescent="0.3">
      <c r="A4" s="301"/>
      <c r="B4" s="710"/>
      <c r="C4" s="56"/>
      <c r="D4" s="710"/>
    </row>
    <row r="5" spans="1:4" ht="16.5" thickBot="1" x14ac:dyDescent="0.35">
      <c r="A5" s="41"/>
      <c r="B5" s="692"/>
      <c r="C5" s="692"/>
      <c r="D5" s="710"/>
    </row>
    <row r="6" spans="1:4" ht="15.75" thickBot="1" x14ac:dyDescent="0.3">
      <c r="A6" s="450"/>
      <c r="B6" s="585"/>
      <c r="C6" s="586" t="s">
        <v>2690</v>
      </c>
      <c r="D6" s="710"/>
    </row>
    <row r="7" spans="1:4" ht="18" customHeight="1" x14ac:dyDescent="0.3">
      <c r="A7" s="254"/>
      <c r="B7" s="581"/>
      <c r="C7" s="582"/>
      <c r="D7" s="710"/>
    </row>
    <row r="8" spans="1:4" ht="15.75" customHeight="1" x14ac:dyDescent="0.25">
      <c r="A8" s="254"/>
      <c r="B8" s="257" t="s">
        <v>2691</v>
      </c>
      <c r="C8" s="303" t="s">
        <v>2692</v>
      </c>
      <c r="D8" s="710"/>
    </row>
    <row r="9" spans="1:4" x14ac:dyDescent="0.25">
      <c r="A9" s="254"/>
      <c r="B9" s="687" t="s">
        <v>2693</v>
      </c>
      <c r="C9" s="302" t="s">
        <v>2694</v>
      </c>
      <c r="D9" s="710"/>
    </row>
    <row r="10" spans="1:4" ht="15.75" x14ac:dyDescent="0.3">
      <c r="A10" s="254"/>
      <c r="B10" s="257" t="s">
        <v>2695</v>
      </c>
      <c r="C10" s="303" t="s">
        <v>2696</v>
      </c>
      <c r="D10" s="41"/>
    </row>
    <row r="11" spans="1:4" ht="15.75" x14ac:dyDescent="0.3">
      <c r="A11" s="193"/>
      <c r="B11" s="583" t="s">
        <v>2697</v>
      </c>
      <c r="C11" s="303" t="s">
        <v>2698</v>
      </c>
      <c r="D11" s="41"/>
    </row>
    <row r="12" spans="1:4" ht="15.75" x14ac:dyDescent="0.3">
      <c r="A12" s="254"/>
      <c r="B12" s="583" t="s">
        <v>2699</v>
      </c>
      <c r="C12" s="584" t="s">
        <v>2700</v>
      </c>
      <c r="D12" s="253"/>
    </row>
    <row r="13" spans="1:4" ht="15.75" x14ac:dyDescent="0.3">
      <c r="A13" s="254"/>
      <c r="B13" s="583" t="s">
        <v>2701</v>
      </c>
      <c r="C13" s="584" t="s">
        <v>2702</v>
      </c>
      <c r="D13" s="253"/>
    </row>
    <row r="14" spans="1:4" ht="16.5" customHeight="1" x14ac:dyDescent="0.3">
      <c r="A14" s="254"/>
      <c r="B14" s="583" t="s">
        <v>1092</v>
      </c>
      <c r="C14" s="584" t="s">
        <v>2703</v>
      </c>
      <c r="D14" s="253"/>
    </row>
    <row r="15" spans="1:4" ht="15" customHeight="1" x14ac:dyDescent="0.3">
      <c r="A15" s="254"/>
      <c r="B15" s="583" t="s">
        <v>371</v>
      </c>
      <c r="C15" s="584" t="s">
        <v>2704</v>
      </c>
      <c r="D15" s="253"/>
    </row>
    <row r="16" spans="1:4" ht="15.75" x14ac:dyDescent="0.3">
      <c r="A16" s="254"/>
      <c r="B16" s="583" t="s">
        <v>2705</v>
      </c>
      <c r="C16" s="584" t="s">
        <v>2706</v>
      </c>
      <c r="D16" s="253"/>
    </row>
    <row r="17" spans="1:4" ht="15.75" customHeight="1" x14ac:dyDescent="0.3">
      <c r="A17" s="254"/>
      <c r="B17" s="583" t="s">
        <v>667</v>
      </c>
      <c r="C17" s="584" t="s">
        <v>2707</v>
      </c>
      <c r="D17" s="253"/>
    </row>
    <row r="18" spans="1:4" ht="15.75" x14ac:dyDescent="0.3">
      <c r="A18" s="254"/>
      <c r="B18" s="583" t="s">
        <v>2708</v>
      </c>
      <c r="C18" s="584" t="s">
        <v>2709</v>
      </c>
      <c r="D18" s="253"/>
    </row>
    <row r="19" spans="1:4" ht="15.75" x14ac:dyDescent="0.3">
      <c r="A19" s="254"/>
      <c r="B19" s="583" t="s">
        <v>1043</v>
      </c>
      <c r="C19" s="584" t="s">
        <v>2710</v>
      </c>
      <c r="D19" s="253"/>
    </row>
    <row r="20" spans="1:4" ht="15.75" customHeight="1" x14ac:dyDescent="0.3">
      <c r="A20" s="254"/>
      <c r="B20" s="583" t="s">
        <v>390</v>
      </c>
      <c r="C20" s="584" t="s">
        <v>2711</v>
      </c>
      <c r="D20" s="253"/>
    </row>
    <row r="21" spans="1:4" ht="15.75" x14ac:dyDescent="0.3">
      <c r="A21" s="254"/>
      <c r="B21" s="583" t="s">
        <v>2712</v>
      </c>
      <c r="C21" s="584" t="s">
        <v>2713</v>
      </c>
      <c r="D21" s="253"/>
    </row>
    <row r="22" spans="1:4" ht="16.5" customHeight="1" x14ac:dyDescent="0.3">
      <c r="A22" s="254"/>
      <c r="B22" s="583" t="s">
        <v>1685</v>
      </c>
      <c r="C22" s="584" t="s">
        <v>2714</v>
      </c>
      <c r="D22" s="253"/>
    </row>
    <row r="23" spans="1:4" ht="13.5" customHeight="1" x14ac:dyDescent="0.3">
      <c r="A23" s="254"/>
      <c r="B23" s="583" t="s">
        <v>1575</v>
      </c>
      <c r="C23" s="584" t="s">
        <v>2715</v>
      </c>
      <c r="D23" s="253"/>
    </row>
    <row r="24" spans="1:4" ht="15.75" x14ac:dyDescent="0.3">
      <c r="A24" s="254"/>
      <c r="B24" s="583" t="s">
        <v>2716</v>
      </c>
      <c r="C24" s="584" t="s">
        <v>2717</v>
      </c>
      <c r="D24" s="253"/>
    </row>
    <row r="25" spans="1:4" ht="15" customHeight="1" x14ac:dyDescent="0.3">
      <c r="A25" s="254"/>
      <c r="B25" s="583" t="s">
        <v>2718</v>
      </c>
      <c r="C25" s="584" t="s">
        <v>2719</v>
      </c>
      <c r="D25" s="256"/>
    </row>
    <row r="26" spans="1:4" ht="18.75" customHeight="1" x14ac:dyDescent="0.3">
      <c r="A26" s="254"/>
      <c r="B26" s="583" t="s">
        <v>1707</v>
      </c>
      <c r="C26" s="584" t="s">
        <v>2720</v>
      </c>
      <c r="D26" s="256"/>
    </row>
    <row r="27" spans="1:4" ht="15.75" customHeight="1" x14ac:dyDescent="0.3">
      <c r="A27" s="254"/>
      <c r="B27" s="583" t="s">
        <v>2721</v>
      </c>
      <c r="C27" s="584" t="s">
        <v>2722</v>
      </c>
      <c r="D27" s="256"/>
    </row>
    <row r="28" spans="1:4" ht="17.25" customHeight="1" x14ac:dyDescent="0.3">
      <c r="A28" s="254"/>
      <c r="B28" s="583" t="s">
        <v>2723</v>
      </c>
      <c r="C28" s="584" t="s">
        <v>2724</v>
      </c>
      <c r="D28" s="256"/>
    </row>
    <row r="29" spans="1:4" ht="15.75" x14ac:dyDescent="0.3">
      <c r="A29" s="193"/>
      <c r="B29" s="583" t="s">
        <v>2725</v>
      </c>
      <c r="C29" s="303" t="s">
        <v>2726</v>
      </c>
      <c r="D29" s="256"/>
    </row>
    <row r="30" spans="1:4" ht="15.75" x14ac:dyDescent="0.3">
      <c r="A30" s="255"/>
      <c r="B30" s="583" t="s">
        <v>2727</v>
      </c>
      <c r="C30" s="303" t="s">
        <v>2728</v>
      </c>
      <c r="D30" s="252"/>
    </row>
    <row r="31" spans="1:4" ht="15.75" customHeight="1" x14ac:dyDescent="0.3">
      <c r="A31" s="254"/>
      <c r="B31" s="583" t="s">
        <v>2729</v>
      </c>
      <c r="C31" s="688" t="s">
        <v>2730</v>
      </c>
      <c r="D31" s="253"/>
    </row>
    <row r="32" spans="1:4" ht="15.75" x14ac:dyDescent="0.3">
      <c r="A32" s="255"/>
      <c r="B32" s="583" t="s">
        <v>2731</v>
      </c>
      <c r="C32" s="584" t="s">
        <v>2732</v>
      </c>
      <c r="D32" s="253"/>
    </row>
    <row r="33" spans="1:4" ht="18" customHeight="1" x14ac:dyDescent="0.3">
      <c r="A33" s="193"/>
      <c r="B33" s="583" t="s">
        <v>2733</v>
      </c>
      <c r="C33" s="688" t="s">
        <v>2734</v>
      </c>
      <c r="D33" s="253"/>
    </row>
    <row r="34" spans="1:4" ht="16.5" thickBot="1" x14ac:dyDescent="0.35">
      <c r="A34" s="193"/>
      <c r="B34" s="259"/>
      <c r="C34" s="258"/>
      <c r="D34" s="253"/>
    </row>
    <row r="35" spans="1:4" ht="15.75" x14ac:dyDescent="0.3">
      <c r="A35" s="41"/>
      <c r="B35" s="193"/>
      <c r="C35" s="253"/>
      <c r="D35" s="253"/>
    </row>
    <row r="36" spans="1:4" ht="17.25" customHeight="1" x14ac:dyDescent="0.3">
      <c r="A36" s="307"/>
      <c r="B36" s="14"/>
      <c r="C36" s="51"/>
      <c r="D36" s="253"/>
    </row>
    <row r="37" spans="1:4" ht="15.75" x14ac:dyDescent="0.3">
      <c r="A37" s="41"/>
      <c r="B37" s="692"/>
      <c r="C37" s="692"/>
      <c r="D37" s="253"/>
    </row>
    <row r="38" spans="1:4" ht="15.75" x14ac:dyDescent="0.3">
      <c r="A38" s="4" t="s">
        <v>201</v>
      </c>
      <c r="B38" s="692"/>
      <c r="C38" s="692"/>
      <c r="D38" s="253"/>
    </row>
    <row r="39" spans="1:4" ht="15.75" x14ac:dyDescent="0.3">
      <c r="A39" s="4" t="s">
        <v>202</v>
      </c>
      <c r="B39" s="692"/>
      <c r="C39" s="692"/>
      <c r="D39" s="51"/>
    </row>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784"/>
  <sheetViews>
    <sheetView showGridLines="0" topLeftCell="B89" zoomScale="70" zoomScaleNormal="70" zoomScalePageLayoutView="150" workbookViewId="0">
      <selection activeCell="D6" sqref="D6:D115"/>
    </sheetView>
  </sheetViews>
  <sheetFormatPr defaultColWidth="8.85546875" defaultRowHeight="15" x14ac:dyDescent="0.25"/>
  <cols>
    <col min="1" max="1" width="8.85546875" style="607" hidden="1" customWidth="1"/>
    <col min="2" max="2" width="34.42578125" style="607" customWidth="1"/>
    <col min="3" max="3" width="10.85546875" customWidth="1"/>
    <col min="4" max="4" width="100" customWidth="1"/>
    <col min="5" max="5" width="16.140625" customWidth="1"/>
    <col min="6" max="6" width="14.85546875" style="450" customWidth="1"/>
    <col min="7" max="7" width="22.28515625" customWidth="1"/>
    <col min="8" max="8" width="61" customWidth="1"/>
    <col min="9" max="9" width="10.85546875" customWidth="1"/>
    <col min="10" max="10" width="11" customWidth="1"/>
    <col min="11" max="11" width="8.85546875" customWidth="1"/>
    <col min="12" max="13" width="8.85546875" hidden="1" customWidth="1"/>
  </cols>
  <sheetData>
    <row r="1" spans="1:13" ht="52.5" x14ac:dyDescent="0.25">
      <c r="A1" s="692" t="s">
        <v>334</v>
      </c>
      <c r="B1" s="692"/>
      <c r="C1" s="725" t="s">
        <v>335</v>
      </c>
      <c r="D1" s="657" t="s">
        <v>0</v>
      </c>
      <c r="E1" s="657"/>
      <c r="F1" s="657"/>
      <c r="G1" s="657"/>
      <c r="H1" s="165"/>
      <c r="I1" s="692"/>
      <c r="J1" s="692"/>
      <c r="K1" s="692"/>
      <c r="L1" s="692" t="s">
        <v>334</v>
      </c>
      <c r="M1" s="692"/>
    </row>
    <row r="2" spans="1:13" ht="23.25" x14ac:dyDescent="0.3">
      <c r="A2" s="692" t="s">
        <v>334</v>
      </c>
      <c r="B2" s="692"/>
      <c r="C2" s="636"/>
      <c r="D2" s="676" t="s">
        <v>336</v>
      </c>
      <c r="E2" s="676"/>
      <c r="F2" s="676"/>
      <c r="G2" s="676"/>
      <c r="H2" s="165"/>
      <c r="I2" s="692"/>
      <c r="J2" s="692"/>
      <c r="K2" s="692"/>
      <c r="L2" s="692" t="s">
        <v>334</v>
      </c>
      <c r="M2" s="692"/>
    </row>
    <row r="3" spans="1:13" ht="44.25" customHeight="1" x14ac:dyDescent="0.45">
      <c r="A3" s="692" t="s">
        <v>334</v>
      </c>
      <c r="B3" s="692"/>
      <c r="C3" s="54"/>
      <c r="D3" s="677" t="s">
        <v>337</v>
      </c>
      <c r="E3" s="677"/>
      <c r="F3" s="677"/>
      <c r="G3" s="677"/>
      <c r="H3" s="988"/>
      <c r="I3" s="990"/>
      <c r="J3" s="989"/>
      <c r="K3" s="453"/>
      <c r="L3" s="692" t="s">
        <v>334</v>
      </c>
      <c r="M3" s="692"/>
    </row>
    <row r="4" spans="1:13" ht="64.5" thickBot="1" x14ac:dyDescent="0.5">
      <c r="A4" s="692" t="s">
        <v>334</v>
      </c>
      <c r="B4" s="692"/>
      <c r="C4" s="54"/>
      <c r="D4" s="677" t="s">
        <v>338</v>
      </c>
      <c r="E4" s="677"/>
      <c r="F4" s="677"/>
      <c r="G4" s="677"/>
      <c r="H4" s="165"/>
      <c r="I4" s="692"/>
      <c r="J4" s="692"/>
      <c r="K4" s="692"/>
      <c r="L4" s="692" t="s">
        <v>334</v>
      </c>
      <c r="M4" s="692"/>
    </row>
    <row r="5" spans="1:13" ht="41.25" thickBot="1" x14ac:dyDescent="0.3">
      <c r="A5" s="692" t="s">
        <v>334</v>
      </c>
      <c r="B5" s="692"/>
      <c r="C5" s="362" t="s">
        <v>339</v>
      </c>
      <c r="D5" s="362" t="s">
        <v>340</v>
      </c>
      <c r="E5" s="194" t="s">
        <v>341</v>
      </c>
      <c r="F5" s="194" t="s">
        <v>342</v>
      </c>
      <c r="G5" s="738" t="s">
        <v>343</v>
      </c>
      <c r="H5" s="377" t="s">
        <v>344</v>
      </c>
      <c r="I5" s="118" t="s">
        <v>345</v>
      </c>
      <c r="J5" s="118" t="s">
        <v>346</v>
      </c>
      <c r="K5" s="692"/>
      <c r="L5" s="692" t="s">
        <v>334</v>
      </c>
      <c r="M5" s="692"/>
    </row>
    <row r="6" spans="1:13" ht="31.5" customHeight="1" x14ac:dyDescent="0.25">
      <c r="A6" s="692" t="s">
        <v>347</v>
      </c>
      <c r="B6" s="1081" t="s">
        <v>348</v>
      </c>
      <c r="C6" s="1082"/>
      <c r="D6" s="1175" t="s">
        <v>349</v>
      </c>
      <c r="E6" s="760">
        <v>0</v>
      </c>
      <c r="F6" s="344"/>
      <c r="G6" s="739"/>
      <c r="H6" s="350"/>
      <c r="I6" s="632"/>
      <c r="J6" s="633"/>
      <c r="K6" s="692"/>
      <c r="L6" s="692" t="s">
        <v>347</v>
      </c>
      <c r="M6" s="692" t="s">
        <v>348</v>
      </c>
    </row>
    <row r="7" spans="1:13" s="692" customFormat="1" ht="31.5" customHeight="1" x14ac:dyDescent="0.25">
      <c r="B7" s="767" t="s">
        <v>350</v>
      </c>
      <c r="C7" s="768"/>
      <c r="D7" s="792" t="s">
        <v>351</v>
      </c>
      <c r="E7" s="760">
        <v>0</v>
      </c>
      <c r="F7" s="853"/>
      <c r="G7" s="854"/>
      <c r="H7" s="855" t="s">
        <v>352</v>
      </c>
      <c r="I7" s="856"/>
      <c r="J7" s="857" t="s">
        <v>353</v>
      </c>
    </row>
    <row r="8" spans="1:13" ht="18.75" x14ac:dyDescent="0.25">
      <c r="A8" s="692" t="s">
        <v>347</v>
      </c>
      <c r="B8" s="1081" t="s">
        <v>354</v>
      </c>
      <c r="C8" s="1082"/>
      <c r="D8" s="1254" t="s">
        <v>355</v>
      </c>
      <c r="E8" s="760">
        <v>0</v>
      </c>
      <c r="F8" s="344"/>
      <c r="G8" s="739"/>
      <c r="H8" s="350" t="s">
        <v>356</v>
      </c>
      <c r="I8" s="632"/>
      <c r="J8" s="633"/>
      <c r="K8" s="692"/>
      <c r="L8" s="692" t="s">
        <v>347</v>
      </c>
      <c r="M8" s="692" t="s">
        <v>354</v>
      </c>
    </row>
    <row r="9" spans="1:13" s="607" customFormat="1" ht="18.75" x14ac:dyDescent="0.25">
      <c r="A9" s="692" t="s">
        <v>347</v>
      </c>
      <c r="B9" s="1081" t="s">
        <v>357</v>
      </c>
      <c r="C9" s="1082"/>
      <c r="D9" s="1254" t="s">
        <v>358</v>
      </c>
      <c r="E9" s="760">
        <v>0</v>
      </c>
      <c r="F9" s="344"/>
      <c r="G9" s="739"/>
      <c r="H9" s="350" t="s">
        <v>356</v>
      </c>
      <c r="I9" s="632"/>
      <c r="J9" s="633"/>
      <c r="K9" s="692"/>
      <c r="L9" s="692" t="s">
        <v>347</v>
      </c>
      <c r="M9" s="692" t="s">
        <v>357</v>
      </c>
    </row>
    <row r="10" spans="1:13" ht="27" x14ac:dyDescent="0.25">
      <c r="A10" s="692" t="s">
        <v>347</v>
      </c>
      <c r="B10" s="1081" t="s">
        <v>359</v>
      </c>
      <c r="C10" s="1082"/>
      <c r="D10" s="1254" t="s">
        <v>360</v>
      </c>
      <c r="E10" s="760">
        <v>0</v>
      </c>
      <c r="F10" s="344"/>
      <c r="G10" s="739"/>
      <c r="H10" s="350" t="s">
        <v>361</v>
      </c>
      <c r="I10" s="632" t="s">
        <v>353</v>
      </c>
      <c r="J10" s="633" t="s">
        <v>353</v>
      </c>
      <c r="K10" s="692"/>
      <c r="L10" s="692" t="s">
        <v>347</v>
      </c>
      <c r="M10" s="692" t="s">
        <v>359</v>
      </c>
    </row>
    <row r="11" spans="1:13" s="607" customFormat="1" ht="18.75" x14ac:dyDescent="0.25">
      <c r="A11" s="692" t="s">
        <v>347</v>
      </c>
      <c r="B11" s="1081" t="s">
        <v>362</v>
      </c>
      <c r="C11" s="1082"/>
      <c r="D11" s="1084" t="s">
        <v>363</v>
      </c>
      <c r="E11" s="760">
        <v>0</v>
      </c>
      <c r="F11" s="347">
        <f t="shared" ref="F11" si="0">$E$10</f>
        <v>0</v>
      </c>
      <c r="G11" s="739"/>
      <c r="H11" s="721" t="s">
        <v>364</v>
      </c>
      <c r="I11" s="633" t="s">
        <v>353</v>
      </c>
      <c r="J11" s="633" t="s">
        <v>353</v>
      </c>
      <c r="K11" s="692"/>
      <c r="L11" s="692" t="s">
        <v>347</v>
      </c>
      <c r="M11" s="692" t="s">
        <v>362</v>
      </c>
    </row>
    <row r="12" spans="1:13" ht="27" x14ac:dyDescent="0.25">
      <c r="A12" s="692" t="s">
        <v>347</v>
      </c>
      <c r="B12" s="1081" t="s">
        <v>365</v>
      </c>
      <c r="C12" s="1082"/>
      <c r="D12" s="1175" t="s">
        <v>366</v>
      </c>
      <c r="E12" s="760">
        <v>0</v>
      </c>
      <c r="F12" s="344" t="s">
        <v>367</v>
      </c>
      <c r="G12" s="739"/>
      <c r="H12" s="347" t="s">
        <v>368</v>
      </c>
      <c r="I12" s="632"/>
      <c r="J12" s="633" t="s">
        <v>353</v>
      </c>
      <c r="K12" s="692"/>
      <c r="L12" s="692" t="s">
        <v>347</v>
      </c>
      <c r="M12" s="692" t="s">
        <v>365</v>
      </c>
    </row>
    <row r="13" spans="1:13" ht="27" x14ac:dyDescent="0.25">
      <c r="A13" s="692" t="s">
        <v>347</v>
      </c>
      <c r="B13" s="1081" t="s">
        <v>369</v>
      </c>
      <c r="C13" s="1082"/>
      <c r="D13" s="1085" t="s">
        <v>370</v>
      </c>
      <c r="E13" s="760">
        <v>0</v>
      </c>
      <c r="F13" s="345" t="s">
        <v>371</v>
      </c>
      <c r="G13" s="739"/>
      <c r="H13" s="347" t="s">
        <v>372</v>
      </c>
      <c r="I13" s="632"/>
      <c r="J13" s="633" t="s">
        <v>353</v>
      </c>
      <c r="K13" s="692"/>
      <c r="L13" s="692" t="s">
        <v>347</v>
      </c>
      <c r="M13" s="692" t="s">
        <v>369</v>
      </c>
    </row>
    <row r="14" spans="1:13" s="607" customFormat="1" ht="27" x14ac:dyDescent="0.25">
      <c r="A14" s="692" t="s">
        <v>347</v>
      </c>
      <c r="B14" s="1081" t="s">
        <v>373</v>
      </c>
      <c r="C14" s="1082"/>
      <c r="D14" s="1085" t="s">
        <v>374</v>
      </c>
      <c r="E14" s="760">
        <v>0</v>
      </c>
      <c r="F14" s="345" t="s">
        <v>371</v>
      </c>
      <c r="G14" s="739"/>
      <c r="H14" s="734" t="s">
        <v>375</v>
      </c>
      <c r="I14" s="633" t="s">
        <v>353</v>
      </c>
      <c r="J14" s="633"/>
      <c r="K14" s="692"/>
      <c r="L14" s="692" t="s">
        <v>347</v>
      </c>
      <c r="M14" s="692" t="s">
        <v>373</v>
      </c>
    </row>
    <row r="15" spans="1:13" ht="18.75" x14ac:dyDescent="0.25">
      <c r="A15" s="692" t="s">
        <v>347</v>
      </c>
      <c r="B15" s="1081" t="s">
        <v>376</v>
      </c>
      <c r="C15" s="1082"/>
      <c r="D15" s="1086" t="s">
        <v>377</v>
      </c>
      <c r="E15" s="760">
        <v>0</v>
      </c>
      <c r="F15" s="347" t="s">
        <v>367</v>
      </c>
      <c r="G15" s="739"/>
      <c r="H15" s="733" t="s">
        <v>378</v>
      </c>
      <c r="I15" s="633" t="s">
        <v>353</v>
      </c>
      <c r="J15" s="633"/>
      <c r="K15" s="692"/>
      <c r="L15" s="692" t="s">
        <v>347</v>
      </c>
      <c r="M15" s="692" t="s">
        <v>376</v>
      </c>
    </row>
    <row r="16" spans="1:13" ht="18.75" x14ac:dyDescent="0.25">
      <c r="A16" s="692" t="s">
        <v>347</v>
      </c>
      <c r="B16" s="1081" t="s">
        <v>379</v>
      </c>
      <c r="C16" s="1082"/>
      <c r="D16" s="1086" t="s">
        <v>380</v>
      </c>
      <c r="E16" s="760">
        <v>0</v>
      </c>
      <c r="F16" s="347" t="s">
        <v>367</v>
      </c>
      <c r="G16" s="739"/>
      <c r="H16" s="733" t="s">
        <v>381</v>
      </c>
      <c r="I16" s="633" t="s">
        <v>353</v>
      </c>
      <c r="J16" s="633"/>
      <c r="K16" s="692"/>
      <c r="L16" s="692" t="s">
        <v>347</v>
      </c>
      <c r="M16" s="692" t="s">
        <v>379</v>
      </c>
    </row>
    <row r="17" spans="1:13" ht="18.75" x14ac:dyDescent="0.25">
      <c r="A17" s="692" t="s">
        <v>347</v>
      </c>
      <c r="B17" s="1081" t="s">
        <v>382</v>
      </c>
      <c r="C17" s="1082"/>
      <c r="D17" s="1086" t="s">
        <v>383</v>
      </c>
      <c r="E17" s="760">
        <v>0</v>
      </c>
      <c r="F17" s="347" t="s">
        <v>384</v>
      </c>
      <c r="G17" s="739"/>
      <c r="H17" s="733" t="s">
        <v>385</v>
      </c>
      <c r="I17" s="633" t="s">
        <v>353</v>
      </c>
      <c r="J17" s="633"/>
      <c r="K17" s="692"/>
      <c r="L17" s="692" t="s">
        <v>347</v>
      </c>
      <c r="M17" s="692" t="s">
        <v>382</v>
      </c>
    </row>
    <row r="18" spans="1:13" ht="18.75" x14ac:dyDescent="0.25">
      <c r="A18" s="692" t="s">
        <v>347</v>
      </c>
      <c r="B18" s="1081" t="s">
        <v>386</v>
      </c>
      <c r="C18" s="1082"/>
      <c r="D18" s="1099" t="s">
        <v>387</v>
      </c>
      <c r="E18" s="760">
        <v>0</v>
      </c>
      <c r="F18" s="345" t="s">
        <v>367</v>
      </c>
      <c r="G18" s="739"/>
      <c r="H18" s="733"/>
      <c r="I18" s="633" t="s">
        <v>353</v>
      </c>
      <c r="J18" s="633"/>
      <c r="K18" s="692"/>
      <c r="L18" s="692" t="s">
        <v>347</v>
      </c>
      <c r="M18" s="692" t="s">
        <v>386</v>
      </c>
    </row>
    <row r="19" spans="1:13" ht="18.75" x14ac:dyDescent="0.25">
      <c r="A19" s="692" t="s">
        <v>347</v>
      </c>
      <c r="B19" s="1081" t="s">
        <v>388</v>
      </c>
      <c r="C19" s="1082"/>
      <c r="D19" s="1086" t="s">
        <v>389</v>
      </c>
      <c r="E19" s="760">
        <v>0</v>
      </c>
      <c r="F19" s="350" t="s">
        <v>390</v>
      </c>
      <c r="G19" s="739"/>
      <c r="H19" s="733"/>
      <c r="I19" s="633" t="s">
        <v>353</v>
      </c>
      <c r="J19" s="633"/>
      <c r="K19" s="692"/>
      <c r="L19" s="692" t="s">
        <v>347</v>
      </c>
      <c r="M19" s="692" t="s">
        <v>388</v>
      </c>
    </row>
    <row r="20" spans="1:13" ht="18.75" x14ac:dyDescent="0.25">
      <c r="A20" s="692" t="s">
        <v>347</v>
      </c>
      <c r="B20" s="1081" t="s">
        <v>391</v>
      </c>
      <c r="C20" s="1082"/>
      <c r="D20" s="1086" t="s">
        <v>392</v>
      </c>
      <c r="E20" s="760">
        <v>0</v>
      </c>
      <c r="F20" s="350" t="s">
        <v>367</v>
      </c>
      <c r="G20" s="739"/>
      <c r="H20" s="733"/>
      <c r="I20" s="633" t="s">
        <v>353</v>
      </c>
      <c r="J20" s="633"/>
      <c r="K20" s="692"/>
      <c r="L20" s="692" t="s">
        <v>347</v>
      </c>
      <c r="M20" s="692" t="s">
        <v>391</v>
      </c>
    </row>
    <row r="21" spans="1:13" ht="18.75" x14ac:dyDescent="0.25">
      <c r="A21" s="692" t="s">
        <v>347</v>
      </c>
      <c r="B21" s="1081" t="s">
        <v>393</v>
      </c>
      <c r="C21" s="1082"/>
      <c r="D21" s="1086" t="s">
        <v>394</v>
      </c>
      <c r="E21" s="760">
        <v>0</v>
      </c>
      <c r="F21" s="350" t="s">
        <v>367</v>
      </c>
      <c r="G21" s="739"/>
      <c r="H21" s="733"/>
      <c r="I21" s="633" t="s">
        <v>353</v>
      </c>
      <c r="J21" s="633"/>
      <c r="K21" s="692"/>
      <c r="L21" s="692" t="s">
        <v>347</v>
      </c>
      <c r="M21" s="692" t="s">
        <v>393</v>
      </c>
    </row>
    <row r="22" spans="1:13" ht="18.75" x14ac:dyDescent="0.25">
      <c r="A22" s="692" t="s">
        <v>334</v>
      </c>
      <c r="B22" s="692"/>
      <c r="C22" s="374"/>
      <c r="D22" s="362" t="s">
        <v>395</v>
      </c>
      <c r="E22" s="760">
        <v>0</v>
      </c>
      <c r="F22" s="653"/>
      <c r="G22" s="739"/>
      <c r="H22" s="735"/>
      <c r="I22" s="632"/>
      <c r="J22" s="633"/>
      <c r="K22" s="692"/>
      <c r="L22" s="692" t="s">
        <v>334</v>
      </c>
      <c r="M22" s="692"/>
    </row>
    <row r="23" spans="1:13" s="692" customFormat="1" ht="18.75" x14ac:dyDescent="0.25">
      <c r="B23" s="767" t="s">
        <v>396</v>
      </c>
      <c r="C23" s="768" t="s">
        <v>397</v>
      </c>
      <c r="D23" s="791" t="s">
        <v>398</v>
      </c>
      <c r="E23" s="760" t="s">
        <v>399</v>
      </c>
      <c r="F23" s="639" t="s">
        <v>400</v>
      </c>
      <c r="G23" s="739"/>
      <c r="H23" s="735"/>
      <c r="I23" s="633" t="s">
        <v>353</v>
      </c>
      <c r="J23" s="633"/>
    </row>
    <row r="24" spans="1:13" s="692" customFormat="1" ht="18.75" x14ac:dyDescent="0.25">
      <c r="B24" s="767" t="s">
        <v>401</v>
      </c>
      <c r="C24" s="768" t="s">
        <v>402</v>
      </c>
      <c r="D24" s="791" t="s">
        <v>403</v>
      </c>
      <c r="E24" s="760" t="s">
        <v>399</v>
      </c>
      <c r="F24" s="639" t="s">
        <v>400</v>
      </c>
      <c r="G24" s="739"/>
      <c r="H24" s="735"/>
      <c r="I24" s="633"/>
      <c r="J24" s="633"/>
    </row>
    <row r="25" spans="1:13" s="692" customFormat="1" ht="18.75" x14ac:dyDescent="0.25">
      <c r="B25" s="767" t="s">
        <v>404</v>
      </c>
      <c r="C25" s="768" t="s">
        <v>405</v>
      </c>
      <c r="D25" s="791" t="s">
        <v>406</v>
      </c>
      <c r="E25" s="760" t="s">
        <v>399</v>
      </c>
      <c r="F25" s="639" t="s">
        <v>400</v>
      </c>
      <c r="G25" s="739"/>
      <c r="H25" s="735"/>
      <c r="I25" s="633"/>
      <c r="J25" s="633"/>
    </row>
    <row r="26" spans="1:13" s="692" customFormat="1" ht="18.75" x14ac:dyDescent="0.25">
      <c r="B26" s="767" t="s">
        <v>407</v>
      </c>
      <c r="C26" s="768" t="s">
        <v>408</v>
      </c>
      <c r="D26" s="791" t="s">
        <v>409</v>
      </c>
      <c r="E26" s="760" t="s">
        <v>399</v>
      </c>
      <c r="F26" s="639" t="s">
        <v>400</v>
      </c>
      <c r="G26" s="739"/>
      <c r="H26" s="735"/>
      <c r="I26" s="633"/>
      <c r="J26" s="633"/>
    </row>
    <row r="27" spans="1:13" s="692" customFormat="1" ht="18.75" x14ac:dyDescent="0.25">
      <c r="B27" s="767" t="s">
        <v>410</v>
      </c>
      <c r="C27" s="768" t="s">
        <v>411</v>
      </c>
      <c r="D27" s="791" t="s">
        <v>412</v>
      </c>
      <c r="E27" s="760" t="s">
        <v>399</v>
      </c>
      <c r="F27" s="639" t="s">
        <v>400</v>
      </c>
      <c r="G27" s="739"/>
      <c r="H27" s="735"/>
      <c r="I27" s="633"/>
      <c r="J27" s="633"/>
    </row>
    <row r="28" spans="1:13" s="692" customFormat="1" ht="18.75" x14ac:dyDescent="0.25">
      <c r="B28" s="1081" t="s">
        <v>413</v>
      </c>
      <c r="C28" s="1082" t="s">
        <v>414</v>
      </c>
      <c r="D28" s="1140" t="s">
        <v>415</v>
      </c>
      <c r="E28" s="760" t="s">
        <v>399</v>
      </c>
      <c r="F28" s="639" t="s">
        <v>400</v>
      </c>
      <c r="G28" s="739"/>
      <c r="H28" s="735"/>
      <c r="I28" s="633"/>
      <c r="J28" s="633"/>
    </row>
    <row r="29" spans="1:13" s="692" customFormat="1" ht="18.75" x14ac:dyDescent="0.25">
      <c r="B29" s="767" t="s">
        <v>416</v>
      </c>
      <c r="C29" s="768" t="s">
        <v>417</v>
      </c>
      <c r="D29" s="774" t="s">
        <v>418</v>
      </c>
      <c r="E29" s="760" t="s">
        <v>399</v>
      </c>
      <c r="F29" s="639" t="s">
        <v>400</v>
      </c>
      <c r="G29" s="739"/>
      <c r="H29" s="732"/>
      <c r="I29" s="632"/>
      <c r="J29" s="633"/>
    </row>
    <row r="30" spans="1:13" s="692" customFormat="1" ht="18.75" x14ac:dyDescent="0.25">
      <c r="B30" s="767" t="s">
        <v>419</v>
      </c>
      <c r="C30" s="768" t="s">
        <v>420</v>
      </c>
      <c r="D30" s="774" t="s">
        <v>421</v>
      </c>
      <c r="E30" s="760" t="s">
        <v>399</v>
      </c>
      <c r="F30" s="639" t="s">
        <v>400</v>
      </c>
      <c r="G30" s="739"/>
      <c r="H30" s="732"/>
      <c r="I30" s="632"/>
      <c r="J30" s="633"/>
    </row>
    <row r="31" spans="1:13" s="692" customFormat="1" ht="27" x14ac:dyDescent="0.25">
      <c r="B31" s="1081" t="s">
        <v>422</v>
      </c>
      <c r="C31" s="1082" t="s">
        <v>423</v>
      </c>
      <c r="D31" s="1090" t="s">
        <v>424</v>
      </c>
      <c r="E31" s="760">
        <v>0</v>
      </c>
      <c r="F31" s="350" t="s">
        <v>371</v>
      </c>
      <c r="G31" s="739"/>
      <c r="H31" s="32" t="s">
        <v>425</v>
      </c>
      <c r="I31" s="1101"/>
      <c r="J31" s="910" t="s">
        <v>353</v>
      </c>
    </row>
    <row r="32" spans="1:13" s="692" customFormat="1" ht="27" x14ac:dyDescent="0.25">
      <c r="B32" s="1081" t="s">
        <v>426</v>
      </c>
      <c r="C32" s="1082" t="s">
        <v>423</v>
      </c>
      <c r="D32" s="1090" t="s">
        <v>427</v>
      </c>
      <c r="E32" s="760">
        <v>0</v>
      </c>
      <c r="F32" s="350" t="s">
        <v>428</v>
      </c>
      <c r="G32" s="739"/>
      <c r="H32" s="32" t="s">
        <v>425</v>
      </c>
      <c r="I32" s="1101"/>
      <c r="J32" s="910" t="s">
        <v>353</v>
      </c>
    </row>
    <row r="33" spans="1:10" s="692" customFormat="1" ht="18.75" x14ac:dyDescent="0.25">
      <c r="B33" s="767" t="s">
        <v>429</v>
      </c>
      <c r="C33" s="768" t="s">
        <v>430</v>
      </c>
      <c r="D33" s="775" t="s">
        <v>431</v>
      </c>
      <c r="E33" s="760" t="s">
        <v>399</v>
      </c>
      <c r="F33" s="639" t="s">
        <v>400</v>
      </c>
      <c r="G33" s="739"/>
      <c r="H33" s="32"/>
      <c r="I33" s="1101"/>
      <c r="J33" s="910"/>
    </row>
    <row r="34" spans="1:10" s="692" customFormat="1" ht="18.75" x14ac:dyDescent="0.3">
      <c r="B34" s="767" t="s">
        <v>432</v>
      </c>
      <c r="C34" s="768" t="s">
        <v>433</v>
      </c>
      <c r="D34" s="859" t="s">
        <v>434</v>
      </c>
      <c r="E34" s="760" t="s">
        <v>399</v>
      </c>
      <c r="F34" s="639" t="s">
        <v>400</v>
      </c>
      <c r="G34" s="739"/>
      <c r="H34" s="34" t="s">
        <v>435</v>
      </c>
      <c r="I34" s="1101"/>
      <c r="J34" s="910" t="s">
        <v>353</v>
      </c>
    </row>
    <row r="35" spans="1:10" s="692" customFormat="1" ht="18.75" x14ac:dyDescent="0.3">
      <c r="B35" s="767" t="s">
        <v>436</v>
      </c>
      <c r="C35" s="768" t="s">
        <v>433</v>
      </c>
      <c r="D35" s="859" t="s">
        <v>437</v>
      </c>
      <c r="E35" s="760" t="s">
        <v>399</v>
      </c>
      <c r="F35" s="639" t="s">
        <v>400</v>
      </c>
      <c r="G35" s="739"/>
      <c r="H35" s="34" t="s">
        <v>435</v>
      </c>
      <c r="I35" s="1101"/>
      <c r="J35" s="910" t="s">
        <v>353</v>
      </c>
    </row>
    <row r="36" spans="1:10" s="692" customFormat="1" ht="18.75" x14ac:dyDescent="0.3">
      <c r="B36" s="767" t="s">
        <v>438</v>
      </c>
      <c r="C36" s="768" t="s">
        <v>439</v>
      </c>
      <c r="D36" s="859" t="s">
        <v>440</v>
      </c>
      <c r="E36" s="760" t="s">
        <v>399</v>
      </c>
      <c r="F36" s="639" t="s">
        <v>400</v>
      </c>
      <c r="G36" s="739"/>
      <c r="H36" s="34" t="s">
        <v>435</v>
      </c>
      <c r="I36" s="1101"/>
      <c r="J36" s="910" t="s">
        <v>353</v>
      </c>
    </row>
    <row r="37" spans="1:10" s="692" customFormat="1" ht="18.75" x14ac:dyDescent="0.3">
      <c r="B37" s="767" t="s">
        <v>441</v>
      </c>
      <c r="C37" s="768" t="s">
        <v>442</v>
      </c>
      <c r="D37" s="859" t="s">
        <v>443</v>
      </c>
      <c r="E37" s="760" t="s">
        <v>399</v>
      </c>
      <c r="F37" s="639" t="s">
        <v>400</v>
      </c>
      <c r="G37" s="739"/>
      <c r="H37" s="34" t="s">
        <v>435</v>
      </c>
      <c r="I37" s="1101"/>
      <c r="J37" s="910" t="s">
        <v>353</v>
      </c>
    </row>
    <row r="38" spans="1:10" s="692" customFormat="1" ht="18.75" x14ac:dyDescent="0.3">
      <c r="B38" s="1081" t="s">
        <v>444</v>
      </c>
      <c r="C38" s="1082" t="s">
        <v>442</v>
      </c>
      <c r="D38" s="1094" t="s">
        <v>445</v>
      </c>
      <c r="E38" s="760" t="s">
        <v>399</v>
      </c>
      <c r="F38" s="639" t="s">
        <v>400</v>
      </c>
      <c r="G38" s="739"/>
      <c r="H38" s="34" t="s">
        <v>435</v>
      </c>
      <c r="I38" s="1101"/>
      <c r="J38" s="910" t="s">
        <v>353</v>
      </c>
    </row>
    <row r="39" spans="1:10" s="692" customFormat="1" ht="18.75" x14ac:dyDescent="0.3">
      <c r="A39" s="767"/>
      <c r="B39" s="767" t="s">
        <v>446</v>
      </c>
      <c r="C39" s="768" t="s">
        <v>442</v>
      </c>
      <c r="D39" s="1250" t="s">
        <v>447</v>
      </c>
      <c r="E39" s="760" t="s">
        <v>399</v>
      </c>
      <c r="F39" s="639" t="s">
        <v>400</v>
      </c>
      <c r="G39" s="739"/>
      <c r="H39" s="34"/>
      <c r="I39" s="1101"/>
      <c r="J39" s="910"/>
    </row>
    <row r="40" spans="1:10" s="692" customFormat="1" ht="18.75" x14ac:dyDescent="0.3">
      <c r="B40" s="1081" t="s">
        <v>448</v>
      </c>
      <c r="C40" s="1082" t="s">
        <v>449</v>
      </c>
      <c r="D40" s="1094" t="s">
        <v>450</v>
      </c>
      <c r="E40" s="760" t="s">
        <v>399</v>
      </c>
      <c r="F40" s="639" t="s">
        <v>400</v>
      </c>
      <c r="G40" s="739"/>
      <c r="H40" s="34" t="s">
        <v>435</v>
      </c>
      <c r="I40" s="1101"/>
      <c r="J40" s="910" t="s">
        <v>353</v>
      </c>
    </row>
    <row r="41" spans="1:10" s="692" customFormat="1" ht="18.75" x14ac:dyDescent="0.25">
      <c r="B41" s="767" t="s">
        <v>451</v>
      </c>
      <c r="C41" s="768" t="s">
        <v>452</v>
      </c>
      <c r="D41" s="902" t="s">
        <v>453</v>
      </c>
      <c r="E41" s="760">
        <v>0</v>
      </c>
      <c r="F41" s="653" t="s">
        <v>210</v>
      </c>
      <c r="G41" s="739"/>
      <c r="H41" s="34" t="s">
        <v>435</v>
      </c>
      <c r="I41" s="1101"/>
      <c r="J41" s="910" t="s">
        <v>353</v>
      </c>
    </row>
    <row r="42" spans="1:10" s="692" customFormat="1" ht="18.75" x14ac:dyDescent="0.25">
      <c r="B42" s="1081" t="s">
        <v>454</v>
      </c>
      <c r="C42" s="1082" t="s">
        <v>455</v>
      </c>
      <c r="D42" s="1095" t="s">
        <v>456</v>
      </c>
      <c r="E42" s="760" t="s">
        <v>399</v>
      </c>
      <c r="F42" s="639" t="s">
        <v>400</v>
      </c>
      <c r="G42" s="739"/>
      <c r="H42" s="34" t="s">
        <v>435</v>
      </c>
      <c r="I42" s="1101"/>
      <c r="J42" s="910" t="s">
        <v>353</v>
      </c>
    </row>
    <row r="43" spans="1:10" s="692" customFormat="1" ht="18.75" x14ac:dyDescent="0.25">
      <c r="B43" s="1081" t="s">
        <v>457</v>
      </c>
      <c r="C43" s="1082" t="s">
        <v>458</v>
      </c>
      <c r="D43" s="1096" t="s">
        <v>459</v>
      </c>
      <c r="E43" s="760">
        <v>0</v>
      </c>
      <c r="F43" s="350"/>
      <c r="G43" s="739"/>
      <c r="H43" s="34" t="s">
        <v>435</v>
      </c>
      <c r="I43" s="1101"/>
      <c r="J43" s="910" t="s">
        <v>353</v>
      </c>
    </row>
    <row r="44" spans="1:10" s="692" customFormat="1" ht="18.75" x14ac:dyDescent="0.25">
      <c r="B44" s="1081" t="s">
        <v>460</v>
      </c>
      <c r="C44" s="1082" t="s">
        <v>458</v>
      </c>
      <c r="D44" s="1088" t="s">
        <v>461</v>
      </c>
      <c r="E44" s="760">
        <v>0</v>
      </c>
      <c r="F44" s="345" t="s">
        <v>462</v>
      </c>
      <c r="G44" s="739"/>
      <c r="H44" s="347" t="s">
        <v>463</v>
      </c>
      <c r="I44" s="1101"/>
      <c r="J44" s="910" t="s">
        <v>353</v>
      </c>
    </row>
    <row r="45" spans="1:10" s="692" customFormat="1" ht="18.75" x14ac:dyDescent="0.25">
      <c r="B45" s="1081" t="s">
        <v>464</v>
      </c>
      <c r="C45" s="1082" t="s">
        <v>458</v>
      </c>
      <c r="D45" s="1088" t="s">
        <v>465</v>
      </c>
      <c r="E45" s="760">
        <v>0</v>
      </c>
      <c r="F45" s="345" t="s">
        <v>462</v>
      </c>
      <c r="G45" s="739"/>
      <c r="H45" s="347" t="s">
        <v>466</v>
      </c>
      <c r="I45" s="1101"/>
      <c r="J45" s="910" t="s">
        <v>353</v>
      </c>
    </row>
    <row r="46" spans="1:10" s="692" customFormat="1" ht="18.75" x14ac:dyDescent="0.25">
      <c r="B46" s="1081" t="s">
        <v>467</v>
      </c>
      <c r="C46" s="1082" t="s">
        <v>458</v>
      </c>
      <c r="D46" s="1088" t="s">
        <v>468</v>
      </c>
      <c r="E46" s="760">
        <v>0</v>
      </c>
      <c r="F46" s="345"/>
      <c r="G46" s="739"/>
      <c r="H46" s="34" t="s">
        <v>435</v>
      </c>
      <c r="I46" s="1101"/>
      <c r="J46" s="910" t="s">
        <v>353</v>
      </c>
    </row>
    <row r="47" spans="1:10" s="692" customFormat="1" ht="18.75" x14ac:dyDescent="0.25">
      <c r="B47" s="1081" t="s">
        <v>469</v>
      </c>
      <c r="C47" s="1082" t="s">
        <v>470</v>
      </c>
      <c r="D47" s="1085" t="s">
        <v>471</v>
      </c>
      <c r="E47" s="760">
        <v>0</v>
      </c>
      <c r="F47" s="653" t="s">
        <v>210</v>
      </c>
      <c r="G47" s="739"/>
      <c r="H47" s="34"/>
      <c r="I47" s="1101"/>
      <c r="J47" s="910" t="s">
        <v>353</v>
      </c>
    </row>
    <row r="48" spans="1:10" s="692" customFormat="1" ht="18.75" x14ac:dyDescent="0.25">
      <c r="B48" s="1113" t="s">
        <v>472</v>
      </c>
      <c r="C48" s="1114" t="s">
        <v>473</v>
      </c>
      <c r="D48" s="1145" t="s">
        <v>474</v>
      </c>
      <c r="E48" s="760" t="s">
        <v>399</v>
      </c>
      <c r="F48" s="347" t="s">
        <v>400</v>
      </c>
      <c r="G48" s="739"/>
      <c r="H48" s="34"/>
      <c r="I48" s="1101"/>
      <c r="J48" s="910" t="s">
        <v>353</v>
      </c>
    </row>
    <row r="49" spans="2:10" s="692" customFormat="1" ht="18.75" x14ac:dyDescent="0.25">
      <c r="B49" s="1113" t="s">
        <v>475</v>
      </c>
      <c r="C49" s="1114" t="s">
        <v>473</v>
      </c>
      <c r="D49" s="1145" t="s">
        <v>476</v>
      </c>
      <c r="E49" s="760">
        <v>0</v>
      </c>
      <c r="F49" s="347"/>
      <c r="G49" s="739"/>
      <c r="H49" s="32" t="s">
        <v>477</v>
      </c>
      <c r="I49" s="1101"/>
      <c r="J49" s="910" t="s">
        <v>353</v>
      </c>
    </row>
    <row r="50" spans="2:10" s="692" customFormat="1" ht="18.75" x14ac:dyDescent="0.25">
      <c r="B50" s="767" t="s">
        <v>478</v>
      </c>
      <c r="C50" s="768" t="s">
        <v>473</v>
      </c>
      <c r="D50" s="904" t="s">
        <v>479</v>
      </c>
      <c r="E50" s="760" t="s">
        <v>399</v>
      </c>
      <c r="F50" s="347" t="s">
        <v>400</v>
      </c>
      <c r="G50" s="739"/>
      <c r="H50" s="32"/>
      <c r="I50" s="1101"/>
      <c r="J50" s="910"/>
    </row>
    <row r="51" spans="2:10" s="692" customFormat="1" ht="18.75" x14ac:dyDescent="0.25">
      <c r="B51" s="767" t="s">
        <v>480</v>
      </c>
      <c r="C51" s="768" t="s">
        <v>473</v>
      </c>
      <c r="D51" s="904" t="s">
        <v>481</v>
      </c>
      <c r="E51" s="760">
        <v>0</v>
      </c>
      <c r="F51" s="347" t="s">
        <v>462</v>
      </c>
      <c r="G51" s="739"/>
      <c r="H51" s="32"/>
      <c r="I51" s="1101"/>
      <c r="J51" s="910"/>
    </row>
    <row r="52" spans="2:10" s="692" customFormat="1" ht="18.75" x14ac:dyDescent="0.25">
      <c r="B52" s="1081" t="s">
        <v>482</v>
      </c>
      <c r="C52" s="1082" t="s">
        <v>473</v>
      </c>
      <c r="D52" s="1097" t="s">
        <v>483</v>
      </c>
      <c r="E52" s="760">
        <v>0</v>
      </c>
      <c r="F52" s="347"/>
      <c r="G52" s="739"/>
      <c r="H52" s="34" t="s">
        <v>484</v>
      </c>
      <c r="I52" s="1101"/>
      <c r="J52" s="910" t="s">
        <v>353</v>
      </c>
    </row>
    <row r="53" spans="2:10" s="692" customFormat="1" ht="18.75" x14ac:dyDescent="0.25">
      <c r="B53" s="1081" t="s">
        <v>485</v>
      </c>
      <c r="C53" s="1082" t="s">
        <v>486</v>
      </c>
      <c r="D53" s="1085" t="s">
        <v>487</v>
      </c>
      <c r="E53" s="760">
        <v>0</v>
      </c>
      <c r="F53" s="347" t="s">
        <v>257</v>
      </c>
      <c r="G53" s="739"/>
      <c r="H53" s="32" t="s">
        <v>488</v>
      </c>
      <c r="I53" s="1101"/>
      <c r="J53" s="910" t="s">
        <v>353</v>
      </c>
    </row>
    <row r="54" spans="2:10" s="692" customFormat="1" ht="18.75" x14ac:dyDescent="0.25">
      <c r="B54" s="1081" t="s">
        <v>489</v>
      </c>
      <c r="C54" s="1082" t="s">
        <v>490</v>
      </c>
      <c r="D54" s="1097" t="s">
        <v>491</v>
      </c>
      <c r="E54" s="760">
        <v>0</v>
      </c>
      <c r="F54" s="347">
        <f t="shared" ref="F54:F58" si="1">$E$10</f>
        <v>0</v>
      </c>
      <c r="G54" s="739"/>
      <c r="H54" s="34" t="s">
        <v>435</v>
      </c>
      <c r="I54" s="1101"/>
      <c r="J54" s="910" t="s">
        <v>353</v>
      </c>
    </row>
    <row r="55" spans="2:10" s="692" customFormat="1" ht="18.75" x14ac:dyDescent="0.25">
      <c r="B55" s="1081" t="s">
        <v>492</v>
      </c>
      <c r="C55" s="1082" t="s">
        <v>490</v>
      </c>
      <c r="D55" s="1097" t="s">
        <v>493</v>
      </c>
      <c r="E55" s="760">
        <v>0</v>
      </c>
      <c r="F55" s="347">
        <f t="shared" si="1"/>
        <v>0</v>
      </c>
      <c r="G55" s="739"/>
      <c r="H55" s="34" t="s">
        <v>435</v>
      </c>
      <c r="I55" s="1101"/>
      <c r="J55" s="910" t="s">
        <v>353</v>
      </c>
    </row>
    <row r="56" spans="2:10" s="692" customFormat="1" ht="18.75" x14ac:dyDescent="0.25">
      <c r="B56" s="767" t="s">
        <v>494</v>
      </c>
      <c r="C56" s="768" t="s">
        <v>495</v>
      </c>
      <c r="D56" s="816" t="s">
        <v>496</v>
      </c>
      <c r="E56" s="760">
        <v>0</v>
      </c>
      <c r="F56" s="347">
        <f t="shared" si="1"/>
        <v>0</v>
      </c>
      <c r="G56" s="739"/>
      <c r="H56" s="34" t="s">
        <v>435</v>
      </c>
      <c r="I56" s="1101"/>
      <c r="J56" s="910" t="s">
        <v>353</v>
      </c>
    </row>
    <row r="57" spans="2:10" s="692" customFormat="1" ht="18.75" x14ac:dyDescent="0.25">
      <c r="B57" s="767" t="s">
        <v>497</v>
      </c>
      <c r="C57" s="768" t="s">
        <v>498</v>
      </c>
      <c r="D57" s="816" t="s">
        <v>499</v>
      </c>
      <c r="E57" s="760">
        <v>0</v>
      </c>
      <c r="F57" s="347">
        <f t="shared" si="1"/>
        <v>0</v>
      </c>
      <c r="G57" s="739"/>
      <c r="H57" s="34"/>
      <c r="I57" s="1101"/>
      <c r="J57" s="910"/>
    </row>
    <row r="58" spans="2:10" s="692" customFormat="1" ht="18.75" x14ac:dyDescent="0.25">
      <c r="B58" s="767" t="s">
        <v>500</v>
      </c>
      <c r="C58" s="768" t="s">
        <v>498</v>
      </c>
      <c r="D58" s="816" t="s">
        <v>501</v>
      </c>
      <c r="E58" s="760">
        <v>0</v>
      </c>
      <c r="F58" s="347">
        <f t="shared" si="1"/>
        <v>0</v>
      </c>
      <c r="G58" s="739"/>
      <c r="H58" s="34" t="s">
        <v>435</v>
      </c>
      <c r="I58" s="1101"/>
      <c r="J58" s="910" t="s">
        <v>353</v>
      </c>
    </row>
    <row r="59" spans="2:10" s="692" customFormat="1" ht="18.75" x14ac:dyDescent="0.25">
      <c r="B59" s="1081" t="s">
        <v>502</v>
      </c>
      <c r="C59" s="1082" t="s">
        <v>503</v>
      </c>
      <c r="D59" s="1085" t="s">
        <v>259</v>
      </c>
      <c r="E59" s="760" t="s">
        <v>399</v>
      </c>
      <c r="F59" s="639" t="s">
        <v>400</v>
      </c>
      <c r="G59" s="739"/>
      <c r="H59" s="34" t="s">
        <v>435</v>
      </c>
      <c r="I59" s="1101"/>
      <c r="J59" s="910" t="s">
        <v>353</v>
      </c>
    </row>
    <row r="60" spans="2:10" s="692" customFormat="1" ht="18.75" x14ac:dyDescent="0.25">
      <c r="B60" s="767" t="s">
        <v>504</v>
      </c>
      <c r="C60" s="768" t="s">
        <v>505</v>
      </c>
      <c r="D60" s="902" t="s">
        <v>506</v>
      </c>
      <c r="E60" s="760" t="s">
        <v>399</v>
      </c>
      <c r="F60" s="639" t="s">
        <v>400</v>
      </c>
      <c r="G60" s="739"/>
      <c r="H60" s="34" t="s">
        <v>435</v>
      </c>
      <c r="I60" s="1101"/>
      <c r="J60" s="910" t="s">
        <v>353</v>
      </c>
    </row>
    <row r="61" spans="2:10" s="692" customFormat="1" ht="18.75" x14ac:dyDescent="0.25">
      <c r="B61" s="1081" t="s">
        <v>507</v>
      </c>
      <c r="C61" s="1082" t="s">
        <v>508</v>
      </c>
      <c r="D61" s="1085" t="s">
        <v>509</v>
      </c>
      <c r="E61" s="760" t="s">
        <v>399</v>
      </c>
      <c r="F61" s="639" t="s">
        <v>400</v>
      </c>
      <c r="G61" s="739"/>
      <c r="H61" s="34" t="s">
        <v>435</v>
      </c>
      <c r="I61" s="1101"/>
      <c r="J61" s="910" t="s">
        <v>353</v>
      </c>
    </row>
    <row r="62" spans="2:10" s="692" customFormat="1" ht="18.75" x14ac:dyDescent="0.25">
      <c r="B62" s="767" t="s">
        <v>510</v>
      </c>
      <c r="C62" s="768" t="s">
        <v>511</v>
      </c>
      <c r="D62" s="902" t="s">
        <v>512</v>
      </c>
      <c r="E62" s="760" t="s">
        <v>399</v>
      </c>
      <c r="F62" s="639" t="s">
        <v>400</v>
      </c>
      <c r="G62" s="739"/>
      <c r="H62" s="34"/>
      <c r="I62" s="1101"/>
      <c r="J62" s="910"/>
    </row>
    <row r="63" spans="2:10" s="692" customFormat="1" ht="18.75" x14ac:dyDescent="0.3">
      <c r="B63" s="767" t="s">
        <v>513</v>
      </c>
      <c r="C63" s="768" t="s">
        <v>511</v>
      </c>
      <c r="D63" s="906" t="s">
        <v>514</v>
      </c>
      <c r="E63" s="760">
        <v>0</v>
      </c>
      <c r="F63" s="347" t="s">
        <v>515</v>
      </c>
      <c r="G63" s="739"/>
      <c r="H63" s="34" t="s">
        <v>435</v>
      </c>
      <c r="I63" s="1101"/>
      <c r="J63" s="910" t="s">
        <v>353</v>
      </c>
    </row>
    <row r="64" spans="2:10" s="692" customFormat="1" ht="18.75" x14ac:dyDescent="0.3">
      <c r="B64" s="767" t="s">
        <v>516</v>
      </c>
      <c r="C64" s="768" t="s">
        <v>517</v>
      </c>
      <c r="D64" s="906" t="s">
        <v>518</v>
      </c>
      <c r="E64" s="760">
        <v>0</v>
      </c>
      <c r="F64" s="639"/>
      <c r="G64" s="739"/>
      <c r="H64" s="34" t="s">
        <v>435</v>
      </c>
      <c r="I64" s="1101"/>
      <c r="J64" s="910" t="s">
        <v>353</v>
      </c>
    </row>
    <row r="65" spans="2:10" s="692" customFormat="1" ht="18.75" x14ac:dyDescent="0.3">
      <c r="B65" s="767" t="s">
        <v>519</v>
      </c>
      <c r="C65" s="768" t="s">
        <v>517</v>
      </c>
      <c r="D65" s="906" t="s">
        <v>520</v>
      </c>
      <c r="E65" s="760">
        <v>0</v>
      </c>
      <c r="F65" s="639"/>
      <c r="G65" s="739"/>
      <c r="H65" s="34"/>
      <c r="I65" s="1101"/>
      <c r="J65" s="910"/>
    </row>
    <row r="66" spans="2:10" s="692" customFormat="1" ht="18.75" x14ac:dyDescent="0.25">
      <c r="B66" s="1081" t="s">
        <v>521</v>
      </c>
      <c r="C66" s="1082" t="s">
        <v>522</v>
      </c>
      <c r="D66" s="1095" t="s">
        <v>523</v>
      </c>
      <c r="E66" s="760" t="s">
        <v>399</v>
      </c>
      <c r="F66" s="639" t="s">
        <v>400</v>
      </c>
      <c r="G66" s="739"/>
      <c r="H66" s="34" t="s">
        <v>435</v>
      </c>
      <c r="I66" s="1101"/>
      <c r="J66" s="910" t="s">
        <v>353</v>
      </c>
    </row>
    <row r="67" spans="2:10" s="692" customFormat="1" ht="18.75" x14ac:dyDescent="0.3">
      <c r="B67" s="767" t="s">
        <v>524</v>
      </c>
      <c r="C67" s="768" t="s">
        <v>525</v>
      </c>
      <c r="D67" s="905" t="s">
        <v>526</v>
      </c>
      <c r="E67" s="760" t="s">
        <v>399</v>
      </c>
      <c r="F67" s="639" t="s">
        <v>400</v>
      </c>
      <c r="G67" s="739"/>
      <c r="H67" s="34" t="s">
        <v>435</v>
      </c>
      <c r="I67" s="1101" t="s">
        <v>353</v>
      </c>
      <c r="J67" s="910"/>
    </row>
    <row r="68" spans="2:10" s="692" customFormat="1" ht="18.75" x14ac:dyDescent="0.3">
      <c r="B68" s="767" t="s">
        <v>527</v>
      </c>
      <c r="C68" s="768" t="s">
        <v>528</v>
      </c>
      <c r="D68" s="905" t="s">
        <v>529</v>
      </c>
      <c r="E68" s="760" t="s">
        <v>399</v>
      </c>
      <c r="F68" s="639" t="s">
        <v>400</v>
      </c>
      <c r="G68" s="739"/>
      <c r="H68" s="34" t="s">
        <v>435</v>
      </c>
      <c r="I68" s="1101" t="s">
        <v>353</v>
      </c>
      <c r="J68" s="910"/>
    </row>
    <row r="69" spans="2:10" s="692" customFormat="1" ht="27" x14ac:dyDescent="0.3">
      <c r="B69" s="1081" t="s">
        <v>530</v>
      </c>
      <c r="C69" s="1082" t="s">
        <v>531</v>
      </c>
      <c r="D69" s="1086" t="s">
        <v>532</v>
      </c>
      <c r="E69" s="760">
        <v>0</v>
      </c>
      <c r="F69" s="345" t="s">
        <v>371</v>
      </c>
      <c r="G69" s="739"/>
      <c r="H69" s="1102" t="s">
        <v>533</v>
      </c>
      <c r="I69" s="1101"/>
      <c r="J69" s="910" t="s">
        <v>353</v>
      </c>
    </row>
    <row r="70" spans="2:10" s="692" customFormat="1" ht="27" x14ac:dyDescent="0.3">
      <c r="B70" s="1081" t="s">
        <v>534</v>
      </c>
      <c r="C70" s="1082" t="s">
        <v>531</v>
      </c>
      <c r="D70" s="1086" t="s">
        <v>535</v>
      </c>
      <c r="E70" s="760">
        <v>0</v>
      </c>
      <c r="F70" s="345" t="s">
        <v>536</v>
      </c>
      <c r="G70" s="739"/>
      <c r="H70" s="1102" t="s">
        <v>533</v>
      </c>
      <c r="I70" s="1101"/>
      <c r="J70" s="910" t="s">
        <v>353</v>
      </c>
    </row>
    <row r="71" spans="2:10" s="692" customFormat="1" ht="18.75" x14ac:dyDescent="0.3">
      <c r="B71" s="1081" t="s">
        <v>537</v>
      </c>
      <c r="C71" s="1082" t="s">
        <v>531</v>
      </c>
      <c r="D71" s="1087" t="s">
        <v>538</v>
      </c>
      <c r="E71" s="760">
        <v>0</v>
      </c>
      <c r="F71" s="345" t="s">
        <v>539</v>
      </c>
      <c r="G71" s="739"/>
      <c r="H71" s="256"/>
      <c r="I71" s="1101"/>
      <c r="J71" s="910" t="s">
        <v>353</v>
      </c>
    </row>
    <row r="72" spans="2:10" s="692" customFormat="1" ht="18.75" x14ac:dyDescent="0.3">
      <c r="B72" s="1081" t="s">
        <v>540</v>
      </c>
      <c r="C72" s="1082" t="s">
        <v>531</v>
      </c>
      <c r="D72" s="1087" t="s">
        <v>541</v>
      </c>
      <c r="E72" s="760">
        <v>0</v>
      </c>
      <c r="F72" s="345" t="s">
        <v>371</v>
      </c>
      <c r="G72" s="739"/>
      <c r="H72" s="256" t="s">
        <v>542</v>
      </c>
      <c r="I72" s="1101"/>
      <c r="J72" s="910" t="s">
        <v>353</v>
      </c>
    </row>
    <row r="73" spans="2:10" s="692" customFormat="1" ht="18.75" x14ac:dyDescent="0.3">
      <c r="B73" s="1081" t="s">
        <v>543</v>
      </c>
      <c r="C73" s="1082" t="s">
        <v>531</v>
      </c>
      <c r="D73" s="1086" t="s">
        <v>544</v>
      </c>
      <c r="E73" s="760">
        <v>0</v>
      </c>
      <c r="F73" s="345" t="s">
        <v>536</v>
      </c>
      <c r="G73" s="739"/>
      <c r="H73" s="256" t="s">
        <v>542</v>
      </c>
      <c r="I73" s="1101"/>
      <c r="J73" s="910" t="s">
        <v>353</v>
      </c>
    </row>
    <row r="74" spans="2:10" s="692" customFormat="1" ht="18.75" x14ac:dyDescent="0.3">
      <c r="B74" s="1081" t="s">
        <v>545</v>
      </c>
      <c r="C74" s="1082" t="s">
        <v>531</v>
      </c>
      <c r="D74" s="1087" t="s">
        <v>546</v>
      </c>
      <c r="E74" s="760">
        <v>0</v>
      </c>
      <c r="F74" s="345" t="s">
        <v>539</v>
      </c>
      <c r="G74" s="739"/>
      <c r="H74" s="256"/>
      <c r="I74" s="1101"/>
      <c r="J74" s="910" t="s">
        <v>353</v>
      </c>
    </row>
    <row r="75" spans="2:10" s="692" customFormat="1" ht="27" x14ac:dyDescent="0.25">
      <c r="B75" s="1081" t="s">
        <v>547</v>
      </c>
      <c r="C75" s="1082" t="s">
        <v>531</v>
      </c>
      <c r="D75" s="1088" t="s">
        <v>548</v>
      </c>
      <c r="E75" s="760">
        <v>0</v>
      </c>
      <c r="F75" s="345" t="s">
        <v>549</v>
      </c>
      <c r="G75" s="739"/>
      <c r="H75" s="255" t="s">
        <v>550</v>
      </c>
      <c r="I75" s="1101"/>
      <c r="J75" s="910" t="s">
        <v>353</v>
      </c>
    </row>
    <row r="76" spans="2:10" s="692" customFormat="1" ht="27" x14ac:dyDescent="0.25">
      <c r="B76" s="1081" t="s">
        <v>551</v>
      </c>
      <c r="C76" s="1082" t="s">
        <v>531</v>
      </c>
      <c r="D76" s="1088" t="s">
        <v>552</v>
      </c>
      <c r="E76" s="760">
        <v>0</v>
      </c>
      <c r="F76" s="345" t="s">
        <v>549</v>
      </c>
      <c r="G76" s="739"/>
      <c r="H76" s="255" t="s">
        <v>550</v>
      </c>
      <c r="I76" s="1101"/>
      <c r="J76" s="910" t="s">
        <v>353</v>
      </c>
    </row>
    <row r="77" spans="2:10" s="692" customFormat="1" ht="18.75" x14ac:dyDescent="0.25">
      <c r="B77" s="1081" t="s">
        <v>553</v>
      </c>
      <c r="C77" s="1082" t="s">
        <v>554</v>
      </c>
      <c r="D77" s="1089" t="s">
        <v>555</v>
      </c>
      <c r="E77" s="760">
        <v>0</v>
      </c>
      <c r="F77" s="347" t="s">
        <v>210</v>
      </c>
      <c r="G77" s="739"/>
      <c r="H77" s="193"/>
      <c r="I77" s="1101"/>
      <c r="J77" s="910" t="s">
        <v>353</v>
      </c>
    </row>
    <row r="78" spans="2:10" s="692" customFormat="1" ht="18.75" x14ac:dyDescent="0.25">
      <c r="B78" s="1081" t="s">
        <v>556</v>
      </c>
      <c r="C78" s="1082" t="s">
        <v>554</v>
      </c>
      <c r="D78" s="1089" t="s">
        <v>557</v>
      </c>
      <c r="E78" s="760">
        <v>0</v>
      </c>
      <c r="F78" s="347" t="s">
        <v>210</v>
      </c>
      <c r="G78" s="739"/>
      <c r="H78" s="193"/>
      <c r="I78" s="1101"/>
      <c r="J78" s="910" t="s">
        <v>353</v>
      </c>
    </row>
    <row r="79" spans="2:10" s="692" customFormat="1" ht="18.75" x14ac:dyDescent="0.25">
      <c r="B79" s="1081" t="s">
        <v>558</v>
      </c>
      <c r="C79" s="1082" t="s">
        <v>554</v>
      </c>
      <c r="D79" s="1089" t="s">
        <v>559</v>
      </c>
      <c r="E79" s="760">
        <v>0</v>
      </c>
      <c r="F79" s="347" t="s">
        <v>210</v>
      </c>
      <c r="G79" s="739"/>
      <c r="H79" s="261"/>
      <c r="I79" s="1101"/>
      <c r="J79" s="910" t="s">
        <v>353</v>
      </c>
    </row>
    <row r="80" spans="2:10" s="692" customFormat="1" ht="27" x14ac:dyDescent="0.25">
      <c r="B80" s="1081" t="s">
        <v>560</v>
      </c>
      <c r="C80" s="1082" t="s">
        <v>561</v>
      </c>
      <c r="D80" s="1089" t="s">
        <v>562</v>
      </c>
      <c r="E80" s="760">
        <v>0</v>
      </c>
      <c r="F80" s="345" t="s">
        <v>210</v>
      </c>
      <c r="G80" s="739"/>
      <c r="H80" s="255" t="s">
        <v>563</v>
      </c>
      <c r="I80" s="1101"/>
      <c r="J80" s="910" t="s">
        <v>353</v>
      </c>
    </row>
    <row r="81" spans="1:13" s="692" customFormat="1" ht="18.75" x14ac:dyDescent="0.25">
      <c r="B81" s="1081" t="s">
        <v>564</v>
      </c>
      <c r="C81" s="1082" t="s">
        <v>561</v>
      </c>
      <c r="D81" s="1089" t="s">
        <v>565</v>
      </c>
      <c r="E81" s="760">
        <v>0</v>
      </c>
      <c r="F81" s="347" t="s">
        <v>210</v>
      </c>
      <c r="G81" s="739"/>
      <c r="H81" s="193" t="s">
        <v>566</v>
      </c>
      <c r="I81" s="1101"/>
      <c r="J81" s="910" t="s">
        <v>353</v>
      </c>
    </row>
    <row r="82" spans="1:13" ht="18.75" x14ac:dyDescent="0.25">
      <c r="A82" s="692" t="s">
        <v>567</v>
      </c>
      <c r="B82" s="767" t="s">
        <v>568</v>
      </c>
      <c r="C82" s="768" t="s">
        <v>569</v>
      </c>
      <c r="D82" s="886" t="s">
        <v>570</v>
      </c>
      <c r="E82" s="760">
        <v>0</v>
      </c>
      <c r="F82" s="347" t="s">
        <v>371</v>
      </c>
      <c r="G82" s="739"/>
      <c r="H82" s="193"/>
      <c r="I82" s="1101"/>
      <c r="J82" s="910" t="s">
        <v>353</v>
      </c>
      <c r="K82" s="692"/>
      <c r="L82" s="692" t="s">
        <v>567</v>
      </c>
      <c r="M82" s="692" t="s">
        <v>530</v>
      </c>
    </row>
    <row r="83" spans="1:13" ht="18.75" x14ac:dyDescent="0.25">
      <c r="A83" s="692" t="s">
        <v>567</v>
      </c>
      <c r="B83" s="767" t="s">
        <v>571</v>
      </c>
      <c r="C83" s="768" t="s">
        <v>569</v>
      </c>
      <c r="D83" s="886" t="s">
        <v>572</v>
      </c>
      <c r="E83" s="760">
        <v>0</v>
      </c>
      <c r="F83" s="347" t="s">
        <v>371</v>
      </c>
      <c r="G83" s="739"/>
      <c r="H83" s="193"/>
      <c r="I83" s="1101"/>
      <c r="J83" s="910" t="s">
        <v>353</v>
      </c>
      <c r="K83" s="692"/>
      <c r="L83" s="692" t="s">
        <v>567</v>
      </c>
      <c r="M83" s="692" t="s">
        <v>534</v>
      </c>
    </row>
    <row r="84" spans="1:13" ht="18.75" x14ac:dyDescent="0.25">
      <c r="A84" s="692" t="s">
        <v>567</v>
      </c>
      <c r="B84" s="767" t="s">
        <v>573</v>
      </c>
      <c r="C84" s="768" t="s">
        <v>569</v>
      </c>
      <c r="D84" s="886" t="s">
        <v>574</v>
      </c>
      <c r="E84" s="760">
        <v>0</v>
      </c>
      <c r="F84" s="347" t="s">
        <v>371</v>
      </c>
      <c r="G84" s="739"/>
      <c r="H84" s="193"/>
      <c r="I84" s="1101"/>
      <c r="J84" s="910" t="s">
        <v>353</v>
      </c>
      <c r="K84" s="692"/>
      <c r="L84" s="692" t="s">
        <v>567</v>
      </c>
      <c r="M84" s="692" t="s">
        <v>537</v>
      </c>
    </row>
    <row r="85" spans="1:13" s="692" customFormat="1" ht="18.75" x14ac:dyDescent="0.25">
      <c r="B85" s="767" t="s">
        <v>575</v>
      </c>
      <c r="C85" s="768" t="s">
        <v>569</v>
      </c>
      <c r="D85" s="886" t="s">
        <v>576</v>
      </c>
      <c r="E85" s="760">
        <v>0</v>
      </c>
      <c r="F85" s="347" t="s">
        <v>577</v>
      </c>
      <c r="G85" s="739"/>
      <c r="H85" s="193"/>
      <c r="I85" s="1101"/>
      <c r="J85" s="910"/>
    </row>
    <row r="86" spans="1:13" s="692" customFormat="1" ht="18.75" x14ac:dyDescent="0.25">
      <c r="B86" s="767" t="s">
        <v>578</v>
      </c>
      <c r="C86" s="768" t="s">
        <v>569</v>
      </c>
      <c r="D86" s="886" t="s">
        <v>579</v>
      </c>
      <c r="E86" s="760">
        <v>0</v>
      </c>
      <c r="F86" s="347" t="s">
        <v>577</v>
      </c>
      <c r="G86" s="739"/>
      <c r="H86" s="193"/>
      <c r="I86" s="1101"/>
      <c r="J86" s="910"/>
    </row>
    <row r="87" spans="1:13" s="692" customFormat="1" ht="18.75" x14ac:dyDescent="0.25">
      <c r="B87" s="767" t="s">
        <v>580</v>
      </c>
      <c r="C87" s="768" t="s">
        <v>569</v>
      </c>
      <c r="D87" s="886" t="s">
        <v>581</v>
      </c>
      <c r="E87" s="760">
        <v>0</v>
      </c>
      <c r="F87" s="347" t="s">
        <v>577</v>
      </c>
      <c r="G87" s="739"/>
      <c r="H87" s="193"/>
      <c r="I87" s="1101"/>
      <c r="J87" s="910"/>
    </row>
    <row r="88" spans="1:13" s="692" customFormat="1" ht="21" customHeight="1" x14ac:dyDescent="0.25">
      <c r="B88" s="1081" t="s">
        <v>582</v>
      </c>
      <c r="C88" s="1082">
        <v>3.2</v>
      </c>
      <c r="D88" s="1088" t="s">
        <v>583</v>
      </c>
      <c r="E88" s="760">
        <v>0</v>
      </c>
      <c r="F88" s="345" t="s">
        <v>371</v>
      </c>
      <c r="G88" s="739"/>
      <c r="H88" s="255"/>
      <c r="I88" s="1101"/>
      <c r="J88" s="910"/>
    </row>
    <row r="89" spans="1:13" ht="18.75" x14ac:dyDescent="0.25">
      <c r="A89" s="692" t="s">
        <v>567</v>
      </c>
      <c r="B89" s="1081" t="s">
        <v>584</v>
      </c>
      <c r="C89" s="1082">
        <v>3.2</v>
      </c>
      <c r="D89" s="1088" t="s">
        <v>585</v>
      </c>
      <c r="E89" s="760">
        <v>0</v>
      </c>
      <c r="F89" s="349" t="s">
        <v>586</v>
      </c>
      <c r="G89" s="739"/>
      <c r="H89" s="34" t="s">
        <v>587</v>
      </c>
      <c r="I89" s="1101"/>
      <c r="J89" s="910" t="s">
        <v>353</v>
      </c>
      <c r="K89" s="692"/>
      <c r="L89" s="692" t="s">
        <v>567</v>
      </c>
      <c r="M89" s="692" t="s">
        <v>540</v>
      </c>
    </row>
    <row r="90" spans="1:13" ht="18.75" x14ac:dyDescent="0.25">
      <c r="A90" s="692" t="s">
        <v>567</v>
      </c>
      <c r="B90" s="1081" t="s">
        <v>588</v>
      </c>
      <c r="C90" s="1082">
        <v>3.2</v>
      </c>
      <c r="D90" s="1088" t="s">
        <v>589</v>
      </c>
      <c r="E90" s="760">
        <v>0</v>
      </c>
      <c r="F90" s="349" t="s">
        <v>371</v>
      </c>
      <c r="G90" s="739"/>
      <c r="H90" s="34"/>
      <c r="I90" s="1101"/>
      <c r="J90" s="910" t="s">
        <v>353</v>
      </c>
      <c r="K90" s="692"/>
      <c r="L90" s="692" t="s">
        <v>567</v>
      </c>
      <c r="M90" s="692" t="s">
        <v>543</v>
      </c>
    </row>
    <row r="91" spans="1:13" ht="18.75" x14ac:dyDescent="0.25">
      <c r="A91" s="692" t="s">
        <v>567</v>
      </c>
      <c r="B91" s="1081" t="s">
        <v>590</v>
      </c>
      <c r="C91" s="1082">
        <v>3.2</v>
      </c>
      <c r="D91" s="1088" t="s">
        <v>591</v>
      </c>
      <c r="E91" s="760">
        <v>0</v>
      </c>
      <c r="F91" s="349" t="s">
        <v>586</v>
      </c>
      <c r="G91" s="739"/>
      <c r="H91" s="34" t="s">
        <v>587</v>
      </c>
      <c r="I91" s="1101"/>
      <c r="J91" s="910" t="s">
        <v>353</v>
      </c>
      <c r="K91" s="692"/>
      <c r="L91" s="692" t="s">
        <v>567</v>
      </c>
      <c r="M91" s="692" t="s">
        <v>545</v>
      </c>
    </row>
    <row r="92" spans="1:13" ht="18.75" x14ac:dyDescent="0.25">
      <c r="A92" s="692" t="s">
        <v>567</v>
      </c>
      <c r="B92" s="1081" t="s">
        <v>592</v>
      </c>
      <c r="C92" s="1082">
        <v>3.2</v>
      </c>
      <c r="D92" s="1088" t="s">
        <v>593</v>
      </c>
      <c r="E92" s="760">
        <v>0</v>
      </c>
      <c r="F92" s="349" t="s">
        <v>371</v>
      </c>
      <c r="G92" s="739"/>
      <c r="H92" s="34"/>
      <c r="I92" s="1101"/>
      <c r="J92" s="910" t="s">
        <v>353</v>
      </c>
      <c r="K92" s="692"/>
      <c r="L92" s="692" t="s">
        <v>567</v>
      </c>
      <c r="M92" s="692" t="s">
        <v>547</v>
      </c>
    </row>
    <row r="93" spans="1:13" ht="18.75" x14ac:dyDescent="0.25">
      <c r="A93" s="692" t="s">
        <v>567</v>
      </c>
      <c r="B93" s="1081" t="s">
        <v>594</v>
      </c>
      <c r="C93" s="1082">
        <v>3.2</v>
      </c>
      <c r="D93" s="1088" t="s">
        <v>595</v>
      </c>
      <c r="E93" s="760">
        <v>0</v>
      </c>
      <c r="F93" s="349" t="s">
        <v>586</v>
      </c>
      <c r="G93" s="739"/>
      <c r="H93" s="34" t="s">
        <v>587</v>
      </c>
      <c r="I93" s="1101"/>
      <c r="J93" s="910" t="s">
        <v>353</v>
      </c>
      <c r="K93" s="692"/>
      <c r="L93" s="692" t="s">
        <v>567</v>
      </c>
      <c r="M93" s="692" t="s">
        <v>551</v>
      </c>
    </row>
    <row r="94" spans="1:13" ht="18.75" x14ac:dyDescent="0.25">
      <c r="A94" s="692" t="s">
        <v>567</v>
      </c>
      <c r="B94" s="1081" t="s">
        <v>596</v>
      </c>
      <c r="C94" s="1082">
        <v>3.2</v>
      </c>
      <c r="D94" s="1091" t="s">
        <v>597</v>
      </c>
      <c r="E94" s="760">
        <v>0</v>
      </c>
      <c r="F94" s="349" t="s">
        <v>371</v>
      </c>
      <c r="G94" s="739"/>
      <c r="H94" s="34"/>
      <c r="I94" s="1101"/>
      <c r="J94" s="910" t="s">
        <v>353</v>
      </c>
      <c r="K94" s="692"/>
      <c r="L94" s="692" t="s">
        <v>567</v>
      </c>
      <c r="M94" s="692" t="s">
        <v>584</v>
      </c>
    </row>
    <row r="95" spans="1:13" s="692" customFormat="1" ht="18.75" x14ac:dyDescent="0.25">
      <c r="B95" s="1081" t="s">
        <v>598</v>
      </c>
      <c r="C95" s="1082">
        <v>3.2</v>
      </c>
      <c r="D95" s="1091" t="s">
        <v>599</v>
      </c>
      <c r="E95" s="760">
        <v>0</v>
      </c>
      <c r="F95" s="349" t="s">
        <v>586</v>
      </c>
      <c r="G95" s="739"/>
      <c r="H95" s="34" t="s">
        <v>587</v>
      </c>
      <c r="I95" s="1101"/>
      <c r="J95" s="910" t="s">
        <v>353</v>
      </c>
    </row>
    <row r="96" spans="1:13" ht="18.75" x14ac:dyDescent="0.25">
      <c r="A96" s="692" t="s">
        <v>567</v>
      </c>
      <c r="B96" s="1081" t="s">
        <v>600</v>
      </c>
      <c r="C96" s="1082">
        <v>3.2</v>
      </c>
      <c r="D96" s="1091" t="s">
        <v>601</v>
      </c>
      <c r="E96" s="760">
        <v>0</v>
      </c>
      <c r="F96" s="349" t="s">
        <v>371</v>
      </c>
      <c r="G96" s="739"/>
      <c r="H96" s="34"/>
      <c r="I96" s="1101"/>
      <c r="J96" s="910" t="s">
        <v>353</v>
      </c>
      <c r="K96" s="692"/>
      <c r="L96" s="692" t="s">
        <v>567</v>
      </c>
      <c r="M96" s="692" t="s">
        <v>590</v>
      </c>
    </row>
    <row r="97" spans="1:13" s="692" customFormat="1" ht="27" x14ac:dyDescent="0.25">
      <c r="B97" s="1081" t="s">
        <v>602</v>
      </c>
      <c r="C97" s="1082">
        <v>3.2</v>
      </c>
      <c r="D97" s="1091" t="s">
        <v>603</v>
      </c>
      <c r="E97" s="760">
        <v>0</v>
      </c>
      <c r="F97" s="349" t="s">
        <v>604</v>
      </c>
      <c r="G97" s="739"/>
      <c r="H97" s="347" t="s">
        <v>605</v>
      </c>
      <c r="I97" s="1101"/>
      <c r="J97" s="910" t="s">
        <v>353</v>
      </c>
    </row>
    <row r="98" spans="1:13" ht="27" x14ac:dyDescent="0.25">
      <c r="A98" s="692" t="s">
        <v>567</v>
      </c>
      <c r="B98" s="1081" t="s">
        <v>606</v>
      </c>
      <c r="C98" s="1082">
        <v>3.2</v>
      </c>
      <c r="D98" s="1091" t="s">
        <v>607</v>
      </c>
      <c r="E98" s="760">
        <v>0</v>
      </c>
      <c r="F98" s="654" t="s">
        <v>604</v>
      </c>
      <c r="G98" s="739"/>
      <c r="H98" s="1103" t="s">
        <v>608</v>
      </c>
      <c r="I98" s="1101"/>
      <c r="J98" s="910" t="s">
        <v>353</v>
      </c>
      <c r="K98" s="692"/>
      <c r="L98" s="692" t="s">
        <v>567</v>
      </c>
      <c r="M98" s="692" t="s">
        <v>594</v>
      </c>
    </row>
    <row r="99" spans="1:13" s="692" customFormat="1" ht="27" x14ac:dyDescent="0.25">
      <c r="B99" s="1081" t="s">
        <v>609</v>
      </c>
      <c r="C99" s="1082">
        <v>3.2</v>
      </c>
      <c r="D99" s="1091" t="s">
        <v>610</v>
      </c>
      <c r="E99" s="760">
        <v>0</v>
      </c>
      <c r="F99" s="345" t="s">
        <v>611</v>
      </c>
      <c r="G99" s="739"/>
      <c r="H99" s="349" t="s">
        <v>612</v>
      </c>
      <c r="I99" s="1101"/>
      <c r="J99" s="910" t="s">
        <v>353</v>
      </c>
    </row>
    <row r="100" spans="1:13" ht="18.75" x14ac:dyDescent="0.25">
      <c r="A100" s="692" t="s">
        <v>567</v>
      </c>
      <c r="B100" s="1081" t="s">
        <v>613</v>
      </c>
      <c r="C100" s="1082">
        <v>3.2</v>
      </c>
      <c r="D100" s="1091" t="s">
        <v>614</v>
      </c>
      <c r="E100" s="760">
        <v>0</v>
      </c>
      <c r="F100" s="349" t="s">
        <v>615</v>
      </c>
      <c r="G100" s="739"/>
      <c r="H100" s="34"/>
      <c r="I100" s="1101"/>
      <c r="J100" s="910" t="s">
        <v>353</v>
      </c>
      <c r="K100" s="692"/>
      <c r="L100" s="692" t="s">
        <v>567</v>
      </c>
      <c r="M100" s="692" t="s">
        <v>598</v>
      </c>
    </row>
    <row r="101" spans="1:13" s="692" customFormat="1" ht="18.75" x14ac:dyDescent="0.25">
      <c r="B101" s="1081" t="s">
        <v>616</v>
      </c>
      <c r="C101" s="1082">
        <v>3.2</v>
      </c>
      <c r="D101" s="1091" t="s">
        <v>617</v>
      </c>
      <c r="E101" s="760">
        <v>0</v>
      </c>
      <c r="F101" s="655" t="s">
        <v>618</v>
      </c>
      <c r="G101" s="739"/>
      <c r="H101" s="193" t="s">
        <v>619</v>
      </c>
      <c r="I101" s="1101"/>
      <c r="J101" s="910" t="s">
        <v>353</v>
      </c>
    </row>
    <row r="102" spans="1:13" ht="17.45" customHeight="1" x14ac:dyDescent="0.25">
      <c r="A102" s="692" t="s">
        <v>567</v>
      </c>
      <c r="B102" s="1081" t="s">
        <v>620</v>
      </c>
      <c r="C102" s="1082">
        <v>3.2</v>
      </c>
      <c r="D102" s="1091" t="s">
        <v>621</v>
      </c>
      <c r="E102" s="760">
        <v>0</v>
      </c>
      <c r="F102" s="345" t="s">
        <v>622</v>
      </c>
      <c r="G102" s="739"/>
      <c r="H102" s="347" t="s">
        <v>623</v>
      </c>
      <c r="I102" s="1101"/>
      <c r="J102" s="910" t="s">
        <v>353</v>
      </c>
      <c r="K102" s="692"/>
      <c r="L102" s="692" t="s">
        <v>567</v>
      </c>
      <c r="M102" s="692" t="s">
        <v>602</v>
      </c>
    </row>
    <row r="103" spans="1:13" ht="18.75" x14ac:dyDescent="0.25">
      <c r="A103" s="692" t="s">
        <v>567</v>
      </c>
      <c r="B103" s="1081" t="s">
        <v>624</v>
      </c>
      <c r="C103" s="1082">
        <v>3.2</v>
      </c>
      <c r="D103" s="1091" t="s">
        <v>625</v>
      </c>
      <c r="E103" s="760">
        <v>0</v>
      </c>
      <c r="F103" s="345" t="s">
        <v>618</v>
      </c>
      <c r="G103" s="739"/>
      <c r="H103" s="193" t="s">
        <v>626</v>
      </c>
      <c r="I103" s="1101"/>
      <c r="J103" s="910" t="s">
        <v>353</v>
      </c>
      <c r="K103" s="692"/>
      <c r="L103" s="692" t="s">
        <v>567</v>
      </c>
      <c r="M103" s="692" t="s">
        <v>606</v>
      </c>
    </row>
    <row r="104" spans="1:13" ht="18.75" x14ac:dyDescent="0.25">
      <c r="A104" s="692" t="s">
        <v>567</v>
      </c>
      <c r="B104" s="767"/>
      <c r="C104" s="768"/>
      <c r="D104" s="769" t="s">
        <v>627</v>
      </c>
      <c r="E104" s="760">
        <v>0</v>
      </c>
      <c r="F104" s="345"/>
      <c r="G104" s="739"/>
      <c r="H104" s="193"/>
      <c r="I104" s="1101"/>
      <c r="J104" s="910" t="s">
        <v>353</v>
      </c>
      <c r="K104" s="692"/>
      <c r="L104" s="692" t="s">
        <v>567</v>
      </c>
      <c r="M104" s="692" t="s">
        <v>609</v>
      </c>
    </row>
    <row r="105" spans="1:13" ht="18.75" x14ac:dyDescent="0.25">
      <c r="A105" s="692" t="s">
        <v>567</v>
      </c>
      <c r="B105" s="767" t="s">
        <v>628</v>
      </c>
      <c r="C105" s="768">
        <v>3.2</v>
      </c>
      <c r="D105" s="770" t="s">
        <v>629</v>
      </c>
      <c r="E105" s="760">
        <v>0</v>
      </c>
      <c r="F105" s="345" t="s">
        <v>390</v>
      </c>
      <c r="G105" s="739"/>
      <c r="H105" s="193"/>
      <c r="I105" s="1101"/>
      <c r="J105" s="910" t="s">
        <v>353</v>
      </c>
      <c r="K105" s="692"/>
      <c r="L105" s="692" t="s">
        <v>567</v>
      </c>
      <c r="M105" s="692" t="s">
        <v>613</v>
      </c>
    </row>
    <row r="106" spans="1:13" ht="18.75" x14ac:dyDescent="0.25">
      <c r="A106" s="692" t="s">
        <v>567</v>
      </c>
      <c r="B106" s="767" t="s">
        <v>630</v>
      </c>
      <c r="C106" s="768">
        <v>3.2</v>
      </c>
      <c r="D106" s="771" t="s">
        <v>631</v>
      </c>
      <c r="E106" s="760">
        <v>0</v>
      </c>
      <c r="F106" s="345" t="s">
        <v>611</v>
      </c>
      <c r="G106" s="739"/>
      <c r="H106" s="193"/>
      <c r="I106" s="1101"/>
      <c r="J106" s="910" t="s">
        <v>353</v>
      </c>
      <c r="K106" s="692"/>
      <c r="L106" s="692" t="s">
        <v>567</v>
      </c>
      <c r="M106" s="692" t="s">
        <v>616</v>
      </c>
    </row>
    <row r="107" spans="1:13" ht="18.75" x14ac:dyDescent="0.25">
      <c r="A107" s="692" t="s">
        <v>567</v>
      </c>
      <c r="B107" s="767"/>
      <c r="C107" s="768"/>
      <c r="D107" s="772" t="s">
        <v>632</v>
      </c>
      <c r="E107" s="760">
        <v>0</v>
      </c>
      <c r="F107" s="345"/>
      <c r="G107" s="739"/>
      <c r="H107" s="193"/>
      <c r="I107" s="1101"/>
      <c r="J107" s="910" t="s">
        <v>353</v>
      </c>
      <c r="K107" s="692"/>
      <c r="L107" s="692" t="s">
        <v>567</v>
      </c>
      <c r="M107" s="692" t="s">
        <v>620</v>
      </c>
    </row>
    <row r="108" spans="1:13" ht="18.75" x14ac:dyDescent="0.25">
      <c r="A108" s="692" t="s">
        <v>567</v>
      </c>
      <c r="B108" s="767" t="s">
        <v>633</v>
      </c>
      <c r="C108" s="768">
        <v>3.2</v>
      </c>
      <c r="D108" s="771" t="s">
        <v>634</v>
      </c>
      <c r="E108" s="760">
        <v>0</v>
      </c>
      <c r="F108" s="345" t="s">
        <v>371</v>
      </c>
      <c r="G108" s="739"/>
      <c r="H108" s="193"/>
      <c r="I108" s="1101"/>
      <c r="J108" s="910" t="s">
        <v>353</v>
      </c>
      <c r="K108" s="692"/>
      <c r="L108" s="692" t="s">
        <v>567</v>
      </c>
      <c r="M108" s="692" t="s">
        <v>624</v>
      </c>
    </row>
    <row r="109" spans="1:13" s="692" customFormat="1" ht="40.5" x14ac:dyDescent="0.25">
      <c r="B109" s="767" t="s">
        <v>635</v>
      </c>
      <c r="C109" s="768">
        <v>3.2</v>
      </c>
      <c r="D109" s="771" t="s">
        <v>636</v>
      </c>
      <c r="E109" s="760">
        <v>0</v>
      </c>
      <c r="F109" s="345" t="s">
        <v>637</v>
      </c>
      <c r="G109" s="739"/>
      <c r="H109" s="193"/>
      <c r="I109" s="1101"/>
      <c r="J109" s="910" t="s">
        <v>353</v>
      </c>
    </row>
    <row r="110" spans="1:13" s="692" customFormat="1" ht="18.75" x14ac:dyDescent="0.25">
      <c r="B110" s="1081" t="s">
        <v>638</v>
      </c>
      <c r="C110" s="1082">
        <v>3.2</v>
      </c>
      <c r="D110" s="1091" t="s">
        <v>639</v>
      </c>
      <c r="E110" s="760">
        <v>0</v>
      </c>
      <c r="F110" s="349" t="s">
        <v>371</v>
      </c>
      <c r="G110" s="739"/>
      <c r="H110" s="34" t="s">
        <v>640</v>
      </c>
      <c r="I110" s="1101"/>
      <c r="J110" s="910" t="s">
        <v>353</v>
      </c>
    </row>
    <row r="111" spans="1:13" s="692" customFormat="1" ht="27" x14ac:dyDescent="0.25">
      <c r="B111" s="1081" t="s">
        <v>641</v>
      </c>
      <c r="C111" s="1082">
        <v>3.2</v>
      </c>
      <c r="D111" s="1091" t="s">
        <v>642</v>
      </c>
      <c r="E111" s="760">
        <v>0</v>
      </c>
      <c r="F111" s="349" t="s">
        <v>643</v>
      </c>
      <c r="G111" s="739"/>
      <c r="H111" s="255" t="s">
        <v>644</v>
      </c>
      <c r="I111" s="1101"/>
      <c r="J111" s="910" t="s">
        <v>353</v>
      </c>
    </row>
    <row r="112" spans="1:13" s="692" customFormat="1" ht="18.75" x14ac:dyDescent="0.25">
      <c r="B112" s="1081" t="s">
        <v>645</v>
      </c>
      <c r="C112" s="1082">
        <v>3.2</v>
      </c>
      <c r="D112" s="1255" t="s">
        <v>646</v>
      </c>
      <c r="E112" s="760">
        <v>0</v>
      </c>
      <c r="F112" s="349" t="s">
        <v>647</v>
      </c>
      <c r="G112" s="739"/>
      <c r="H112" s="1104"/>
      <c r="I112" s="1101"/>
      <c r="J112" s="910" t="s">
        <v>353</v>
      </c>
    </row>
    <row r="113" spans="1:13" s="692" customFormat="1" ht="18.75" x14ac:dyDescent="0.25">
      <c r="B113" s="1081" t="s">
        <v>648</v>
      </c>
      <c r="C113" s="1082">
        <v>3.2</v>
      </c>
      <c r="D113" s="1091" t="s">
        <v>649</v>
      </c>
      <c r="E113" s="760">
        <v>0</v>
      </c>
      <c r="F113" s="349" t="s">
        <v>650</v>
      </c>
      <c r="G113" s="739"/>
      <c r="H113" s="193"/>
      <c r="I113" s="1101"/>
      <c r="J113" s="910" t="s">
        <v>353</v>
      </c>
    </row>
    <row r="114" spans="1:13" s="692" customFormat="1" ht="18.75" x14ac:dyDescent="0.25">
      <c r="B114" s="1081" t="s">
        <v>651</v>
      </c>
      <c r="C114" s="1082">
        <v>3.2</v>
      </c>
      <c r="D114" s="1089" t="s">
        <v>652</v>
      </c>
      <c r="E114" s="760">
        <v>0</v>
      </c>
      <c r="F114" s="347" t="s">
        <v>384</v>
      </c>
      <c r="G114" s="739"/>
      <c r="H114" s="255"/>
      <c r="I114" s="1101"/>
      <c r="J114" s="910" t="s">
        <v>353</v>
      </c>
    </row>
    <row r="115" spans="1:13" ht="18.75" x14ac:dyDescent="0.25">
      <c r="A115" s="692" t="s">
        <v>567</v>
      </c>
      <c r="B115" s="1081" t="s">
        <v>653</v>
      </c>
      <c r="C115" s="1082">
        <v>3.2</v>
      </c>
      <c r="D115" s="1084" t="s">
        <v>654</v>
      </c>
      <c r="E115" s="760">
        <v>0</v>
      </c>
      <c r="F115" s="350" t="s">
        <v>655</v>
      </c>
      <c r="G115" s="739"/>
      <c r="H115" s="255" t="s">
        <v>656</v>
      </c>
      <c r="I115" s="1101"/>
      <c r="J115" s="910" t="s">
        <v>353</v>
      </c>
      <c r="K115" s="692"/>
      <c r="L115" s="692" t="s">
        <v>567</v>
      </c>
      <c r="M115" s="692" t="s">
        <v>638</v>
      </c>
    </row>
    <row r="116" spans="1:13" ht="18.75" x14ac:dyDescent="0.25">
      <c r="A116" s="692" t="s">
        <v>567</v>
      </c>
      <c r="B116" s="767" t="s">
        <v>657</v>
      </c>
      <c r="C116" s="768" t="s">
        <v>658</v>
      </c>
      <c r="D116" s="886" t="s">
        <v>659</v>
      </c>
      <c r="E116" s="760" t="s">
        <v>399</v>
      </c>
      <c r="F116" s="639" t="s">
        <v>400</v>
      </c>
      <c r="G116" s="739"/>
      <c r="H116" s="193"/>
      <c r="I116" s="1101"/>
      <c r="J116" s="910" t="s">
        <v>353</v>
      </c>
      <c r="K116" s="692"/>
      <c r="L116" s="692" t="s">
        <v>567</v>
      </c>
      <c r="M116" s="692" t="s">
        <v>645</v>
      </c>
    </row>
    <row r="117" spans="1:13" ht="18.75" x14ac:dyDescent="0.25">
      <c r="A117" s="692" t="s">
        <v>567</v>
      </c>
      <c r="B117" s="1081" t="s">
        <v>660</v>
      </c>
      <c r="C117" s="1082" t="s">
        <v>661</v>
      </c>
      <c r="D117" s="1090" t="s">
        <v>662</v>
      </c>
      <c r="E117" s="760">
        <v>0</v>
      </c>
      <c r="F117" s="639" t="s">
        <v>371</v>
      </c>
      <c r="G117" s="739"/>
      <c r="H117" s="32"/>
      <c r="I117" s="1101"/>
      <c r="J117" s="910" t="s">
        <v>353</v>
      </c>
      <c r="K117" s="692"/>
      <c r="L117" s="692" t="s">
        <v>567</v>
      </c>
      <c r="M117" s="692" t="s">
        <v>651</v>
      </c>
    </row>
    <row r="118" spans="1:13" s="692" customFormat="1" ht="24.6" customHeight="1" x14ac:dyDescent="0.25">
      <c r="B118" s="1081" t="s">
        <v>663</v>
      </c>
      <c r="C118" s="1082" t="s">
        <v>661</v>
      </c>
      <c r="D118" s="1090" t="s">
        <v>664</v>
      </c>
      <c r="E118" s="760">
        <v>0</v>
      </c>
      <c r="F118" s="639" t="s">
        <v>371</v>
      </c>
      <c r="G118" s="739"/>
      <c r="H118" s="32"/>
      <c r="I118" s="1101"/>
      <c r="J118" s="910" t="s">
        <v>353</v>
      </c>
    </row>
    <row r="119" spans="1:13" s="692" customFormat="1" ht="24.6" customHeight="1" x14ac:dyDescent="0.25">
      <c r="B119" s="1081" t="s">
        <v>665</v>
      </c>
      <c r="C119" s="1082" t="s">
        <v>661</v>
      </c>
      <c r="D119" s="1090" t="s">
        <v>666</v>
      </c>
      <c r="E119" s="760">
        <v>0</v>
      </c>
      <c r="F119" s="639" t="s">
        <v>667</v>
      </c>
      <c r="G119" s="739"/>
      <c r="H119" s="32" t="s">
        <v>668</v>
      </c>
      <c r="I119" s="1101"/>
      <c r="J119" s="910" t="s">
        <v>353</v>
      </c>
    </row>
    <row r="120" spans="1:13" s="692" customFormat="1" ht="24.6" customHeight="1" x14ac:dyDescent="0.25">
      <c r="B120" s="1081" t="s">
        <v>669</v>
      </c>
      <c r="C120" s="1082" t="s">
        <v>661</v>
      </c>
      <c r="D120" s="1090" t="s">
        <v>670</v>
      </c>
      <c r="E120" s="760">
        <v>0</v>
      </c>
      <c r="F120" s="639" t="s">
        <v>371</v>
      </c>
      <c r="G120" s="739"/>
      <c r="H120" s="32"/>
      <c r="I120" s="1101"/>
      <c r="J120" s="910" t="s">
        <v>353</v>
      </c>
    </row>
    <row r="121" spans="1:13" s="692" customFormat="1" ht="24.6" customHeight="1" x14ac:dyDescent="0.25">
      <c r="B121" s="1081" t="s">
        <v>671</v>
      </c>
      <c r="C121" s="1082" t="s">
        <v>661</v>
      </c>
      <c r="D121" s="1090" t="s">
        <v>672</v>
      </c>
      <c r="E121" s="760">
        <v>0</v>
      </c>
      <c r="F121" s="639" t="s">
        <v>667</v>
      </c>
      <c r="G121" s="739"/>
      <c r="H121" s="32" t="s">
        <v>668</v>
      </c>
      <c r="I121" s="1101"/>
      <c r="J121" s="910" t="s">
        <v>353</v>
      </c>
    </row>
    <row r="122" spans="1:13" s="692" customFormat="1" ht="24.6" customHeight="1" x14ac:dyDescent="0.25">
      <c r="B122" s="1081" t="s">
        <v>673</v>
      </c>
      <c r="C122" s="1082" t="s">
        <v>661</v>
      </c>
      <c r="D122" s="1090" t="s">
        <v>674</v>
      </c>
      <c r="E122" s="760">
        <v>0</v>
      </c>
      <c r="F122" s="639" t="s">
        <v>371</v>
      </c>
      <c r="G122" s="739"/>
      <c r="H122" s="32" t="s">
        <v>675</v>
      </c>
      <c r="I122" s="1101"/>
      <c r="J122" s="910" t="s">
        <v>353</v>
      </c>
    </row>
    <row r="123" spans="1:13" s="692" customFormat="1" ht="24.6" customHeight="1" x14ac:dyDescent="0.25">
      <c r="B123" s="1081" t="s">
        <v>676</v>
      </c>
      <c r="C123" s="1082" t="s">
        <v>677</v>
      </c>
      <c r="D123" s="1091" t="s">
        <v>678</v>
      </c>
      <c r="E123" s="760">
        <v>0</v>
      </c>
      <c r="F123" s="349" t="s">
        <v>210</v>
      </c>
      <c r="G123" s="739"/>
      <c r="H123" s="32" t="s">
        <v>679</v>
      </c>
      <c r="I123" s="1101"/>
      <c r="J123" s="910" t="s">
        <v>353</v>
      </c>
    </row>
    <row r="124" spans="1:13" s="692" customFormat="1" ht="24.6" customHeight="1" x14ac:dyDescent="0.3">
      <c r="B124" s="767" t="s">
        <v>680</v>
      </c>
      <c r="C124" s="768" t="s">
        <v>28</v>
      </c>
      <c r="D124" s="905" t="s">
        <v>681</v>
      </c>
      <c r="E124" s="760" t="s">
        <v>399</v>
      </c>
      <c r="F124" s="639" t="s">
        <v>400</v>
      </c>
      <c r="G124" s="739"/>
      <c r="H124" s="34"/>
      <c r="I124" s="1101"/>
      <c r="J124" s="910" t="s">
        <v>353</v>
      </c>
    </row>
    <row r="125" spans="1:13" s="692" customFormat="1" ht="24.6" customHeight="1" x14ac:dyDescent="0.3">
      <c r="B125" s="767" t="s">
        <v>682</v>
      </c>
      <c r="C125" s="768" t="s">
        <v>28</v>
      </c>
      <c r="D125" s="905" t="s">
        <v>683</v>
      </c>
      <c r="E125" s="760" t="s">
        <v>399</v>
      </c>
      <c r="F125" s="639" t="s">
        <v>400</v>
      </c>
      <c r="G125" s="739"/>
      <c r="H125" s="34"/>
      <c r="I125" s="1101"/>
      <c r="J125" s="910" t="s">
        <v>353</v>
      </c>
    </row>
    <row r="126" spans="1:13" s="692" customFormat="1" ht="24.6" customHeight="1" x14ac:dyDescent="0.3">
      <c r="B126" s="767" t="s">
        <v>684</v>
      </c>
      <c r="C126" s="768" t="s">
        <v>685</v>
      </c>
      <c r="D126" s="905" t="s">
        <v>686</v>
      </c>
      <c r="E126" s="760" t="s">
        <v>399</v>
      </c>
      <c r="F126" s="639" t="s">
        <v>400</v>
      </c>
      <c r="G126" s="739"/>
      <c r="H126" s="34"/>
      <c r="I126" s="1101"/>
      <c r="J126" s="910"/>
    </row>
    <row r="127" spans="1:13" s="692" customFormat="1" ht="24.6" customHeight="1" x14ac:dyDescent="0.25">
      <c r="B127" s="1081" t="s">
        <v>687</v>
      </c>
      <c r="C127" s="1082" t="s">
        <v>135</v>
      </c>
      <c r="D127" s="1088" t="s">
        <v>688</v>
      </c>
      <c r="E127" s="760">
        <v>0</v>
      </c>
      <c r="F127" s="345" t="s">
        <v>371</v>
      </c>
      <c r="G127" s="739"/>
      <c r="H127" s="34"/>
      <c r="I127" s="1101"/>
      <c r="J127" s="910" t="s">
        <v>353</v>
      </c>
    </row>
    <row r="128" spans="1:13" s="692" customFormat="1" ht="24.6" customHeight="1" x14ac:dyDescent="0.25">
      <c r="B128" s="1113" t="s">
        <v>689</v>
      </c>
      <c r="C128" s="1114" t="s">
        <v>135</v>
      </c>
      <c r="D128" s="1220" t="s">
        <v>690</v>
      </c>
      <c r="E128" s="760">
        <v>0</v>
      </c>
      <c r="F128" s="350" t="s">
        <v>210</v>
      </c>
      <c r="G128" s="739"/>
      <c r="H128" s="32" t="s">
        <v>691</v>
      </c>
      <c r="I128" s="1101"/>
      <c r="J128" s="910" t="s">
        <v>353</v>
      </c>
    </row>
    <row r="129" spans="2:10" s="692" customFormat="1" ht="24.6" customHeight="1" x14ac:dyDescent="0.25">
      <c r="B129" s="767" t="s">
        <v>692</v>
      </c>
      <c r="C129" s="768" t="s">
        <v>196</v>
      </c>
      <c r="D129" s="775" t="s">
        <v>693</v>
      </c>
      <c r="E129" s="760">
        <v>0</v>
      </c>
      <c r="F129" s="639" t="s">
        <v>371</v>
      </c>
      <c r="G129" s="739"/>
      <c r="H129" s="32"/>
      <c r="I129" s="1101"/>
      <c r="J129" s="910" t="s">
        <v>353</v>
      </c>
    </row>
    <row r="130" spans="2:10" s="692" customFormat="1" ht="24.6" customHeight="1" x14ac:dyDescent="0.25">
      <c r="B130" s="767" t="s">
        <v>694</v>
      </c>
      <c r="C130" s="768" t="s">
        <v>196</v>
      </c>
      <c r="D130" s="775" t="s">
        <v>695</v>
      </c>
      <c r="E130" s="760">
        <v>0</v>
      </c>
      <c r="F130" s="350" t="s">
        <v>371</v>
      </c>
      <c r="G130" s="739"/>
      <c r="H130" s="32"/>
      <c r="I130" s="1101"/>
      <c r="J130" s="910"/>
    </row>
    <row r="131" spans="2:10" s="692" customFormat="1" ht="24.6" customHeight="1" x14ac:dyDescent="0.3">
      <c r="B131" s="767" t="s">
        <v>696</v>
      </c>
      <c r="C131" s="768" t="s">
        <v>196</v>
      </c>
      <c r="D131" s="905" t="s">
        <v>697</v>
      </c>
      <c r="E131" s="760">
        <v>0</v>
      </c>
      <c r="F131" s="350" t="s">
        <v>371</v>
      </c>
      <c r="G131" s="739"/>
      <c r="H131" s="34"/>
      <c r="I131" s="1101"/>
      <c r="J131" s="910" t="s">
        <v>353</v>
      </c>
    </row>
    <row r="132" spans="2:10" s="692" customFormat="1" ht="24.6" customHeight="1" x14ac:dyDescent="0.25">
      <c r="B132" s="767" t="s">
        <v>698</v>
      </c>
      <c r="C132" s="768" t="s">
        <v>699</v>
      </c>
      <c r="D132" s="886" t="s">
        <v>700</v>
      </c>
      <c r="E132" s="760" t="s">
        <v>399</v>
      </c>
      <c r="F132" s="639" t="s">
        <v>400</v>
      </c>
      <c r="G132" s="739"/>
      <c r="H132" s="347"/>
      <c r="I132" s="1101"/>
      <c r="J132" s="910" t="s">
        <v>353</v>
      </c>
    </row>
    <row r="133" spans="2:10" s="692" customFormat="1" ht="24.6" customHeight="1" x14ac:dyDescent="0.25">
      <c r="B133" s="767" t="s">
        <v>701</v>
      </c>
      <c r="C133" s="768" t="s">
        <v>699</v>
      </c>
      <c r="D133" s="886" t="s">
        <v>702</v>
      </c>
      <c r="E133" s="760">
        <v>0</v>
      </c>
      <c r="F133" s="350" t="s">
        <v>371</v>
      </c>
      <c r="G133" s="739"/>
      <c r="H133" s="347"/>
      <c r="I133" s="1101"/>
      <c r="J133" s="910"/>
    </row>
    <row r="134" spans="2:10" s="692" customFormat="1" ht="24.6" customHeight="1" x14ac:dyDescent="0.25">
      <c r="B134" s="767" t="s">
        <v>703</v>
      </c>
      <c r="C134" s="768" t="s">
        <v>699</v>
      </c>
      <c r="D134" s="886" t="s">
        <v>704</v>
      </c>
      <c r="E134" s="760">
        <v>0</v>
      </c>
      <c r="F134" s="347" t="s">
        <v>371</v>
      </c>
      <c r="G134" s="739"/>
      <c r="H134" s="347"/>
      <c r="I134" s="1101"/>
      <c r="J134" s="910" t="s">
        <v>353</v>
      </c>
    </row>
    <row r="135" spans="2:10" s="692" customFormat="1" ht="24.6" customHeight="1" x14ac:dyDescent="0.25">
      <c r="B135" s="767" t="s">
        <v>705</v>
      </c>
      <c r="C135" s="768" t="s">
        <v>699</v>
      </c>
      <c r="D135" s="886" t="s">
        <v>706</v>
      </c>
      <c r="E135" s="760" t="s">
        <v>399</v>
      </c>
      <c r="F135" s="639" t="s">
        <v>400</v>
      </c>
      <c r="G135" s="739"/>
      <c r="H135" s="347"/>
      <c r="I135" s="1101"/>
      <c r="J135" s="910"/>
    </row>
    <row r="136" spans="2:10" s="692" customFormat="1" ht="24.6" customHeight="1" x14ac:dyDescent="0.3">
      <c r="B136" s="767" t="s">
        <v>707</v>
      </c>
      <c r="C136" s="768" t="s">
        <v>708</v>
      </c>
      <c r="D136" s="905" t="s">
        <v>709</v>
      </c>
      <c r="E136" s="760" t="s">
        <v>399</v>
      </c>
      <c r="F136" s="639" t="s">
        <v>400</v>
      </c>
      <c r="G136" s="739"/>
      <c r="H136" s="34"/>
      <c r="I136" s="1101"/>
      <c r="J136" s="910" t="s">
        <v>353</v>
      </c>
    </row>
    <row r="137" spans="2:10" s="692" customFormat="1" ht="24.6" customHeight="1" x14ac:dyDescent="0.3">
      <c r="B137" s="767" t="s">
        <v>710</v>
      </c>
      <c r="C137" s="768" t="s">
        <v>711</v>
      </c>
      <c r="D137" s="905" t="s">
        <v>712</v>
      </c>
      <c r="E137" s="760">
        <v>0</v>
      </c>
      <c r="F137" s="350" t="s">
        <v>210</v>
      </c>
      <c r="G137" s="739"/>
      <c r="H137" s="34"/>
      <c r="I137" s="1101"/>
      <c r="J137" s="910" t="s">
        <v>353</v>
      </c>
    </row>
    <row r="138" spans="2:10" s="692" customFormat="1" ht="24.6" customHeight="1" x14ac:dyDescent="0.3">
      <c r="B138" s="767" t="s">
        <v>713</v>
      </c>
      <c r="C138" s="768" t="s">
        <v>711</v>
      </c>
      <c r="D138" s="905" t="s">
        <v>714</v>
      </c>
      <c r="E138" s="760">
        <v>0</v>
      </c>
      <c r="F138" s="350" t="s">
        <v>210</v>
      </c>
      <c r="G138" s="739"/>
      <c r="H138" s="34"/>
      <c r="I138" s="1101"/>
      <c r="J138" s="910" t="s">
        <v>353</v>
      </c>
    </row>
    <row r="139" spans="2:10" s="692" customFormat="1" ht="24.6" customHeight="1" x14ac:dyDescent="0.3">
      <c r="B139" s="767" t="s">
        <v>715</v>
      </c>
      <c r="C139" s="768" t="s">
        <v>711</v>
      </c>
      <c r="D139" s="905" t="s">
        <v>716</v>
      </c>
      <c r="E139" s="760">
        <v>0</v>
      </c>
      <c r="F139" s="350" t="s">
        <v>717</v>
      </c>
      <c r="G139" s="739"/>
      <c r="H139" s="34"/>
      <c r="I139" s="1101"/>
      <c r="J139" s="910" t="s">
        <v>353</v>
      </c>
    </row>
    <row r="140" spans="2:10" s="692" customFormat="1" ht="24.6" customHeight="1" x14ac:dyDescent="0.3">
      <c r="B140" s="767" t="s">
        <v>718</v>
      </c>
      <c r="C140" s="768" t="s">
        <v>711</v>
      </c>
      <c r="D140" s="905" t="s">
        <v>719</v>
      </c>
      <c r="E140" s="760">
        <v>0</v>
      </c>
      <c r="F140" s="350" t="s">
        <v>720</v>
      </c>
      <c r="G140" s="739"/>
      <c r="H140" s="34"/>
      <c r="I140" s="1101"/>
      <c r="J140" s="910" t="s">
        <v>353</v>
      </c>
    </row>
    <row r="141" spans="2:10" s="692" customFormat="1" ht="24.6" customHeight="1" x14ac:dyDescent="0.3">
      <c r="B141" s="767" t="s">
        <v>721</v>
      </c>
      <c r="C141" s="768" t="s">
        <v>722</v>
      </c>
      <c r="D141" s="905" t="s">
        <v>723</v>
      </c>
      <c r="E141" s="760">
        <v>0</v>
      </c>
      <c r="F141" s="639" t="s">
        <v>400</v>
      </c>
      <c r="G141" s="739"/>
      <c r="H141" s="34"/>
      <c r="I141" s="1101"/>
      <c r="J141" s="910" t="s">
        <v>353</v>
      </c>
    </row>
    <row r="142" spans="2:10" s="692" customFormat="1" ht="24.6" customHeight="1" x14ac:dyDescent="0.25">
      <c r="B142" s="1081" t="s">
        <v>724</v>
      </c>
      <c r="C142" s="1082" t="s">
        <v>725</v>
      </c>
      <c r="D142" s="1090" t="s">
        <v>726</v>
      </c>
      <c r="E142" s="760">
        <v>0</v>
      </c>
      <c r="F142" s="639" t="s">
        <v>667</v>
      </c>
      <c r="G142" s="739"/>
      <c r="H142" s="32" t="s">
        <v>727</v>
      </c>
      <c r="I142" s="1101"/>
      <c r="J142" s="910" t="s">
        <v>353</v>
      </c>
    </row>
    <row r="143" spans="2:10" s="692" customFormat="1" ht="24.6" customHeight="1" x14ac:dyDescent="0.25">
      <c r="B143" s="1081" t="s">
        <v>728</v>
      </c>
      <c r="C143" s="1082" t="s">
        <v>725</v>
      </c>
      <c r="D143" s="1090" t="s">
        <v>729</v>
      </c>
      <c r="E143" s="760">
        <v>0</v>
      </c>
      <c r="F143" s="639" t="s">
        <v>667</v>
      </c>
      <c r="G143" s="739"/>
      <c r="H143" s="32" t="s">
        <v>668</v>
      </c>
      <c r="I143" s="1101"/>
      <c r="J143" s="910" t="s">
        <v>353</v>
      </c>
    </row>
    <row r="144" spans="2:10" s="692" customFormat="1" ht="24.6" customHeight="1" x14ac:dyDescent="0.25">
      <c r="B144" s="1081" t="s">
        <v>730</v>
      </c>
      <c r="C144" s="1082" t="s">
        <v>725</v>
      </c>
      <c r="D144" s="1090" t="s">
        <v>731</v>
      </c>
      <c r="E144" s="760">
        <v>0</v>
      </c>
      <c r="F144" s="639" t="s">
        <v>667</v>
      </c>
      <c r="G144" s="739"/>
      <c r="H144" s="32" t="s">
        <v>727</v>
      </c>
      <c r="I144" s="1101"/>
      <c r="J144" s="910" t="s">
        <v>353</v>
      </c>
    </row>
    <row r="145" spans="2:10" s="692" customFormat="1" ht="24.6" customHeight="1" x14ac:dyDescent="0.25">
      <c r="B145" s="1081" t="s">
        <v>732</v>
      </c>
      <c r="C145" s="1082" t="s">
        <v>725</v>
      </c>
      <c r="D145" s="1090" t="s">
        <v>733</v>
      </c>
      <c r="E145" s="760">
        <v>0</v>
      </c>
      <c r="F145" s="639" t="s">
        <v>667</v>
      </c>
      <c r="G145" s="739"/>
      <c r="H145" s="32" t="s">
        <v>668</v>
      </c>
      <c r="I145" s="1101"/>
      <c r="J145" s="910" t="s">
        <v>353</v>
      </c>
    </row>
    <row r="146" spans="2:10" s="692" customFormat="1" ht="24.6" customHeight="1" x14ac:dyDescent="0.25">
      <c r="B146" s="767" t="s">
        <v>734</v>
      </c>
      <c r="C146" s="768" t="s">
        <v>725</v>
      </c>
      <c r="D146" s="775" t="s">
        <v>735</v>
      </c>
      <c r="E146" s="760">
        <v>0</v>
      </c>
      <c r="F146" s="639" t="s">
        <v>667</v>
      </c>
      <c r="G146" s="739"/>
      <c r="H146" s="32"/>
      <c r="I146" s="1101"/>
      <c r="J146" s="910" t="s">
        <v>353</v>
      </c>
    </row>
    <row r="147" spans="2:10" s="692" customFormat="1" ht="24.6" customHeight="1" x14ac:dyDescent="0.25">
      <c r="B147" s="767" t="s">
        <v>736</v>
      </c>
      <c r="C147" s="768" t="s">
        <v>725</v>
      </c>
      <c r="D147" s="775" t="s">
        <v>737</v>
      </c>
      <c r="E147" s="760">
        <v>0</v>
      </c>
      <c r="F147" s="639" t="s">
        <v>667</v>
      </c>
      <c r="G147" s="739"/>
      <c r="H147" s="32"/>
      <c r="I147" s="1101"/>
      <c r="J147" s="910" t="s">
        <v>353</v>
      </c>
    </row>
    <row r="148" spans="2:10" s="692" customFormat="1" ht="24.6" customHeight="1" x14ac:dyDescent="0.25">
      <c r="B148" s="767" t="s">
        <v>738</v>
      </c>
      <c r="C148" s="768" t="s">
        <v>725</v>
      </c>
      <c r="D148" s="775" t="s">
        <v>739</v>
      </c>
      <c r="E148" s="760">
        <v>0</v>
      </c>
      <c r="F148" s="639" t="s">
        <v>667</v>
      </c>
      <c r="G148" s="739"/>
      <c r="H148" s="32"/>
      <c r="I148" s="1101"/>
      <c r="J148" s="910" t="s">
        <v>353</v>
      </c>
    </row>
    <row r="149" spans="2:10" s="692" customFormat="1" ht="24.6" customHeight="1" x14ac:dyDescent="0.25">
      <c r="B149" s="767" t="s">
        <v>740</v>
      </c>
      <c r="C149" s="768" t="s">
        <v>725</v>
      </c>
      <c r="D149" s="775" t="s">
        <v>741</v>
      </c>
      <c r="E149" s="760">
        <v>0</v>
      </c>
      <c r="F149" s="639" t="s">
        <v>667</v>
      </c>
      <c r="G149" s="739"/>
      <c r="H149" s="32"/>
      <c r="I149" s="1101"/>
      <c r="J149" s="910"/>
    </row>
    <row r="150" spans="2:10" s="692" customFormat="1" ht="24.6" customHeight="1" x14ac:dyDescent="0.25">
      <c r="B150" s="767" t="s">
        <v>742</v>
      </c>
      <c r="C150" s="768" t="s">
        <v>725</v>
      </c>
      <c r="D150" s="775" t="s">
        <v>743</v>
      </c>
      <c r="E150" s="760">
        <v>0</v>
      </c>
      <c r="F150" s="639" t="s">
        <v>667</v>
      </c>
      <c r="G150" s="739"/>
      <c r="H150" s="32"/>
      <c r="I150" s="1101"/>
      <c r="J150" s="910"/>
    </row>
    <row r="151" spans="2:10" s="692" customFormat="1" ht="24.6" customHeight="1" x14ac:dyDescent="0.3">
      <c r="B151" s="767" t="s">
        <v>744</v>
      </c>
      <c r="C151" s="768" t="s">
        <v>745</v>
      </c>
      <c r="D151" s="905" t="s">
        <v>746</v>
      </c>
      <c r="E151" s="760">
        <v>0</v>
      </c>
      <c r="F151" s="350" t="s">
        <v>371</v>
      </c>
      <c r="G151" s="739"/>
      <c r="H151" s="34"/>
      <c r="I151" s="1101"/>
      <c r="J151" s="910"/>
    </row>
    <row r="152" spans="2:10" s="692" customFormat="1" ht="24.6" customHeight="1" x14ac:dyDescent="0.3">
      <c r="B152" s="767" t="s">
        <v>747</v>
      </c>
      <c r="C152" s="768" t="s">
        <v>745</v>
      </c>
      <c r="D152" s="905" t="s">
        <v>748</v>
      </c>
      <c r="E152" s="760" t="s">
        <v>399</v>
      </c>
      <c r="F152" s="639" t="s">
        <v>400</v>
      </c>
      <c r="G152" s="739"/>
      <c r="H152" s="34"/>
      <c r="I152" s="1101"/>
      <c r="J152" s="910"/>
    </row>
    <row r="153" spans="2:10" s="692" customFormat="1" ht="24.6" customHeight="1" x14ac:dyDescent="0.3">
      <c r="B153" s="767" t="s">
        <v>749</v>
      </c>
      <c r="C153" s="768" t="s">
        <v>750</v>
      </c>
      <c r="D153" s="905" t="s">
        <v>751</v>
      </c>
      <c r="E153" s="760">
        <v>0</v>
      </c>
      <c r="F153" s="350" t="s">
        <v>371</v>
      </c>
      <c r="G153" s="739"/>
      <c r="H153" s="34"/>
      <c r="I153" s="1101"/>
      <c r="J153" s="910" t="s">
        <v>353</v>
      </c>
    </row>
    <row r="154" spans="2:10" s="692" customFormat="1" ht="24.6" customHeight="1" x14ac:dyDescent="0.3">
      <c r="B154" s="767" t="s">
        <v>752</v>
      </c>
      <c r="C154" s="768" t="s">
        <v>750</v>
      </c>
      <c r="D154" s="905" t="s">
        <v>753</v>
      </c>
      <c r="E154" s="760">
        <v>0</v>
      </c>
      <c r="F154" s="350" t="s">
        <v>371</v>
      </c>
      <c r="G154" s="739"/>
      <c r="H154" s="34"/>
      <c r="I154" s="1101"/>
      <c r="J154" s="910" t="s">
        <v>353</v>
      </c>
    </row>
    <row r="155" spans="2:10" s="692" customFormat="1" ht="24.6" customHeight="1" x14ac:dyDescent="0.3">
      <c r="B155" s="767" t="s">
        <v>754</v>
      </c>
      <c r="C155" s="768" t="s">
        <v>755</v>
      </c>
      <c r="D155" s="905" t="s">
        <v>756</v>
      </c>
      <c r="E155" s="760" t="s">
        <v>399</v>
      </c>
      <c r="F155" s="639" t="s">
        <v>400</v>
      </c>
      <c r="G155" s="739"/>
      <c r="H155" s="34"/>
      <c r="I155" s="1101"/>
      <c r="J155" s="910" t="s">
        <v>353</v>
      </c>
    </row>
    <row r="156" spans="2:10" s="692" customFormat="1" ht="24.6" customHeight="1" x14ac:dyDescent="0.3">
      <c r="B156" s="767" t="s">
        <v>757</v>
      </c>
      <c r="C156" s="768" t="s">
        <v>755</v>
      </c>
      <c r="D156" s="905" t="s">
        <v>758</v>
      </c>
      <c r="E156" s="760" t="s">
        <v>399</v>
      </c>
      <c r="F156" s="639" t="s">
        <v>400</v>
      </c>
      <c r="G156" s="739"/>
      <c r="H156" s="34"/>
      <c r="I156" s="1101"/>
      <c r="J156" s="910" t="s">
        <v>353</v>
      </c>
    </row>
    <row r="157" spans="2:10" s="692" customFormat="1" ht="24.6" customHeight="1" x14ac:dyDescent="0.3">
      <c r="B157" s="767" t="s">
        <v>759</v>
      </c>
      <c r="C157" s="768" t="s">
        <v>755</v>
      </c>
      <c r="D157" s="905" t="s">
        <v>760</v>
      </c>
      <c r="E157" s="760" t="s">
        <v>399</v>
      </c>
      <c r="F157" s="639" t="s">
        <v>400</v>
      </c>
      <c r="G157" s="739"/>
      <c r="H157" s="34"/>
      <c r="I157" s="1101"/>
      <c r="J157" s="910" t="s">
        <v>353</v>
      </c>
    </row>
    <row r="158" spans="2:10" s="692" customFormat="1" ht="24.6" customHeight="1" x14ac:dyDescent="0.25">
      <c r="B158" s="767" t="s">
        <v>761</v>
      </c>
      <c r="C158" s="768" t="s">
        <v>762</v>
      </c>
      <c r="D158" s="774" t="s">
        <v>763</v>
      </c>
      <c r="E158" s="760" t="s">
        <v>399</v>
      </c>
      <c r="F158" s="639" t="s">
        <v>400</v>
      </c>
      <c r="G158" s="739"/>
      <c r="H158" s="34"/>
      <c r="I158" s="1101"/>
      <c r="J158" s="910" t="s">
        <v>353</v>
      </c>
    </row>
    <row r="159" spans="2:10" s="692" customFormat="1" ht="24.6" customHeight="1" x14ac:dyDescent="0.25">
      <c r="B159" s="767" t="s">
        <v>764</v>
      </c>
      <c r="C159" s="768" t="s">
        <v>762</v>
      </c>
      <c r="D159" s="774" t="s">
        <v>765</v>
      </c>
      <c r="E159" s="760" t="s">
        <v>399</v>
      </c>
      <c r="F159" s="639" t="s">
        <v>400</v>
      </c>
      <c r="G159" s="739"/>
      <c r="H159" s="34"/>
      <c r="I159" s="1101"/>
      <c r="J159" s="910" t="s">
        <v>353</v>
      </c>
    </row>
    <row r="160" spans="2:10" s="692" customFormat="1" ht="24.6" customHeight="1" x14ac:dyDescent="0.25">
      <c r="B160" s="767" t="s">
        <v>766</v>
      </c>
      <c r="C160" s="768" t="s">
        <v>762</v>
      </c>
      <c r="D160" s="774" t="s">
        <v>767</v>
      </c>
      <c r="E160" s="760" t="s">
        <v>399</v>
      </c>
      <c r="F160" s="639" t="s">
        <v>400</v>
      </c>
      <c r="G160" s="739"/>
      <c r="H160" s="34"/>
      <c r="I160" s="1101"/>
      <c r="J160" s="910"/>
    </row>
    <row r="161" spans="2:10" s="692" customFormat="1" ht="24.6" customHeight="1" x14ac:dyDescent="0.25">
      <c r="B161" s="767" t="s">
        <v>768</v>
      </c>
      <c r="C161" s="768" t="s">
        <v>762</v>
      </c>
      <c r="D161" s="774" t="s">
        <v>769</v>
      </c>
      <c r="E161" s="760" t="s">
        <v>399</v>
      </c>
      <c r="F161" s="639" t="s">
        <v>400</v>
      </c>
      <c r="G161" s="739"/>
      <c r="H161" s="34"/>
      <c r="I161" s="1101"/>
      <c r="J161" s="910"/>
    </row>
    <row r="162" spans="2:10" s="692" customFormat="1" ht="24.6" customHeight="1" x14ac:dyDescent="0.3">
      <c r="B162" s="767" t="s">
        <v>770</v>
      </c>
      <c r="C162" s="768" t="s">
        <v>771</v>
      </c>
      <c r="D162" s="905" t="s">
        <v>772</v>
      </c>
      <c r="E162" s="760" t="s">
        <v>399</v>
      </c>
      <c r="F162" s="639" t="s">
        <v>400</v>
      </c>
      <c r="G162" s="739"/>
      <c r="H162" s="34"/>
      <c r="I162" s="1101"/>
      <c r="J162" s="910" t="s">
        <v>353</v>
      </c>
    </row>
    <row r="163" spans="2:10" s="692" customFormat="1" ht="24.6" customHeight="1" x14ac:dyDescent="0.25">
      <c r="B163" s="1113" t="s">
        <v>773</v>
      </c>
      <c r="C163" s="1114" t="s">
        <v>774</v>
      </c>
      <c r="D163" s="1156" t="s">
        <v>775</v>
      </c>
      <c r="E163" s="760">
        <v>0</v>
      </c>
      <c r="F163" s="347" t="s">
        <v>384</v>
      </c>
      <c r="G163" s="739"/>
      <c r="H163" s="32" t="s">
        <v>776</v>
      </c>
      <c r="I163" s="1101"/>
      <c r="J163" s="910" t="s">
        <v>353</v>
      </c>
    </row>
    <row r="164" spans="2:10" s="692" customFormat="1" ht="24.6" customHeight="1" x14ac:dyDescent="0.25">
      <c r="B164" s="1113" t="s">
        <v>777</v>
      </c>
      <c r="C164" s="1114" t="s">
        <v>774</v>
      </c>
      <c r="D164" s="1306" t="s">
        <v>778</v>
      </c>
      <c r="E164" s="760">
        <v>0</v>
      </c>
      <c r="F164" s="347" t="s">
        <v>384</v>
      </c>
      <c r="G164" s="739"/>
      <c r="H164" s="32" t="s">
        <v>779</v>
      </c>
      <c r="I164" s="1101"/>
      <c r="J164" s="910" t="s">
        <v>353</v>
      </c>
    </row>
    <row r="165" spans="2:10" s="692" customFormat="1" ht="24.6" customHeight="1" x14ac:dyDescent="0.25">
      <c r="B165" s="1081" t="s">
        <v>780</v>
      </c>
      <c r="C165" s="1082" t="s">
        <v>781</v>
      </c>
      <c r="D165" s="1092" t="s">
        <v>782</v>
      </c>
      <c r="E165" s="760">
        <v>0</v>
      </c>
      <c r="F165" s="347" t="s">
        <v>428</v>
      </c>
      <c r="G165" s="739"/>
      <c r="H165" s="32" t="s">
        <v>783</v>
      </c>
      <c r="I165" s="1101"/>
      <c r="J165" s="910" t="s">
        <v>353</v>
      </c>
    </row>
    <row r="166" spans="2:10" s="692" customFormat="1" ht="24.6" customHeight="1" x14ac:dyDescent="0.25">
      <c r="B166" s="767" t="s">
        <v>784</v>
      </c>
      <c r="C166" s="768" t="s">
        <v>781</v>
      </c>
      <c r="D166" s="774" t="s">
        <v>785</v>
      </c>
      <c r="E166" s="760">
        <v>0</v>
      </c>
      <c r="F166" s="347" t="s">
        <v>786</v>
      </c>
      <c r="G166" s="739"/>
      <c r="H166" s="32"/>
      <c r="I166" s="1101"/>
      <c r="J166" s="910"/>
    </row>
    <row r="167" spans="2:10" s="692" customFormat="1" ht="24.6" customHeight="1" x14ac:dyDescent="0.3">
      <c r="B167" s="767" t="s">
        <v>787</v>
      </c>
      <c r="C167" s="768" t="s">
        <v>788</v>
      </c>
      <c r="D167" s="905" t="s">
        <v>789</v>
      </c>
      <c r="E167" s="760">
        <v>0</v>
      </c>
      <c r="F167" s="639" t="s">
        <v>371</v>
      </c>
      <c r="G167" s="739"/>
      <c r="H167" s="34"/>
      <c r="I167" s="1101"/>
      <c r="J167" s="910" t="s">
        <v>353</v>
      </c>
    </row>
    <row r="168" spans="2:10" s="692" customFormat="1" ht="24.6" customHeight="1" x14ac:dyDescent="0.3">
      <c r="B168" s="767" t="s">
        <v>790</v>
      </c>
      <c r="C168" s="768" t="s">
        <v>791</v>
      </c>
      <c r="D168" s="905" t="s">
        <v>792</v>
      </c>
      <c r="E168" s="760" t="s">
        <v>399</v>
      </c>
      <c r="F168" s="639" t="s">
        <v>400</v>
      </c>
      <c r="G168" s="739"/>
      <c r="H168" s="34"/>
      <c r="I168" s="1101"/>
      <c r="J168" s="910" t="s">
        <v>353</v>
      </c>
    </row>
    <row r="169" spans="2:10" s="692" customFormat="1" ht="24.6" customHeight="1" x14ac:dyDescent="0.3">
      <c r="B169" s="767" t="s">
        <v>793</v>
      </c>
      <c r="C169" s="768" t="s">
        <v>791</v>
      </c>
      <c r="D169" s="905" t="s">
        <v>794</v>
      </c>
      <c r="E169" s="760">
        <v>0</v>
      </c>
      <c r="F169" s="639" t="s">
        <v>371</v>
      </c>
      <c r="G169" s="739"/>
      <c r="H169" s="34"/>
      <c r="I169" s="1101"/>
      <c r="J169" s="910" t="s">
        <v>353</v>
      </c>
    </row>
    <row r="170" spans="2:10" s="692" customFormat="1" ht="24.6" customHeight="1" x14ac:dyDescent="0.3">
      <c r="B170" s="767" t="s">
        <v>795</v>
      </c>
      <c r="C170" s="768" t="s">
        <v>796</v>
      </c>
      <c r="D170" s="905" t="s">
        <v>797</v>
      </c>
      <c r="E170" s="760" t="s">
        <v>399</v>
      </c>
      <c r="F170" s="639" t="s">
        <v>400</v>
      </c>
      <c r="G170" s="739"/>
      <c r="H170" s="34"/>
      <c r="I170" s="1101"/>
      <c r="J170" s="910" t="s">
        <v>353</v>
      </c>
    </row>
    <row r="171" spans="2:10" s="692" customFormat="1" ht="24.6" customHeight="1" x14ac:dyDescent="0.3">
      <c r="B171" s="767" t="s">
        <v>798</v>
      </c>
      <c r="C171" s="768" t="s">
        <v>796</v>
      </c>
      <c r="D171" s="905" t="s">
        <v>799</v>
      </c>
      <c r="E171" s="760">
        <v>0</v>
      </c>
      <c r="F171" s="639" t="s">
        <v>371</v>
      </c>
      <c r="G171" s="739"/>
      <c r="H171" s="34"/>
      <c r="I171" s="1101"/>
      <c r="J171" s="910" t="s">
        <v>353</v>
      </c>
    </row>
    <row r="172" spans="2:10" s="692" customFormat="1" ht="24.6" customHeight="1" x14ac:dyDescent="0.25">
      <c r="B172" s="1081" t="s">
        <v>800</v>
      </c>
      <c r="C172" s="1082" t="s">
        <v>801</v>
      </c>
      <c r="D172" s="1090" t="s">
        <v>802</v>
      </c>
      <c r="E172" s="760">
        <v>0</v>
      </c>
      <c r="F172" s="639" t="s">
        <v>803</v>
      </c>
      <c r="G172" s="739"/>
      <c r="H172" s="32" t="s">
        <v>804</v>
      </c>
      <c r="I172" s="1101"/>
      <c r="J172" s="910" t="s">
        <v>353</v>
      </c>
    </row>
    <row r="173" spans="2:10" s="692" customFormat="1" ht="24.6" customHeight="1" x14ac:dyDescent="0.3">
      <c r="B173" s="767" t="s">
        <v>805</v>
      </c>
      <c r="C173" s="768" t="s">
        <v>806</v>
      </c>
      <c r="D173" s="905" t="s">
        <v>807</v>
      </c>
      <c r="E173" s="760">
        <v>0</v>
      </c>
      <c r="F173" s="639"/>
      <c r="G173" s="739"/>
      <c r="H173" s="34"/>
      <c r="I173" s="1101"/>
      <c r="J173" s="910" t="s">
        <v>353</v>
      </c>
    </row>
    <row r="174" spans="2:10" s="692" customFormat="1" ht="24.6" customHeight="1" x14ac:dyDescent="0.3">
      <c r="B174" s="767" t="s">
        <v>808</v>
      </c>
      <c r="C174" s="768" t="s">
        <v>809</v>
      </c>
      <c r="D174" s="905" t="s">
        <v>810</v>
      </c>
      <c r="E174" s="760" t="s">
        <v>399</v>
      </c>
      <c r="F174" s="639" t="s">
        <v>400</v>
      </c>
      <c r="G174" s="739"/>
      <c r="H174" s="34"/>
      <c r="I174" s="1101"/>
      <c r="J174" s="910" t="s">
        <v>353</v>
      </c>
    </row>
    <row r="175" spans="2:10" s="692" customFormat="1" ht="24.6" customHeight="1" x14ac:dyDescent="0.3">
      <c r="B175" s="767" t="s">
        <v>811</v>
      </c>
      <c r="C175" s="768" t="s">
        <v>812</v>
      </c>
      <c r="D175" s="905" t="s">
        <v>813</v>
      </c>
      <c r="E175" s="760" t="s">
        <v>399</v>
      </c>
      <c r="F175" s="639" t="s">
        <v>400</v>
      </c>
      <c r="G175" s="739"/>
      <c r="H175" s="34"/>
      <c r="I175" s="1101"/>
      <c r="J175" s="910"/>
    </row>
    <row r="176" spans="2:10" s="692" customFormat="1" ht="24.6" customHeight="1" x14ac:dyDescent="0.3">
      <c r="B176" s="1081" t="s">
        <v>814</v>
      </c>
      <c r="C176" s="1082" t="s">
        <v>815</v>
      </c>
      <c r="D176" s="1166" t="s">
        <v>816</v>
      </c>
      <c r="E176" s="760">
        <v>0</v>
      </c>
      <c r="F176" s="350">
        <f>$E$10</f>
        <v>0</v>
      </c>
      <c r="G176" s="739"/>
      <c r="H176" s="34"/>
      <c r="I176" s="1101"/>
      <c r="J176" s="910"/>
    </row>
    <row r="177" spans="2:10" s="692" customFormat="1" ht="24.6" customHeight="1" x14ac:dyDescent="0.3">
      <c r="B177" s="1081" t="s">
        <v>817</v>
      </c>
      <c r="C177" s="1082" t="s">
        <v>815</v>
      </c>
      <c r="D177" s="1166" t="s">
        <v>818</v>
      </c>
      <c r="E177" s="760">
        <v>0</v>
      </c>
      <c r="F177" s="350">
        <f>$E$10</f>
        <v>0</v>
      </c>
      <c r="G177" s="739"/>
      <c r="H177" s="34"/>
      <c r="I177" s="1101"/>
      <c r="J177" s="910"/>
    </row>
    <row r="178" spans="2:10" s="692" customFormat="1" ht="24.6" customHeight="1" x14ac:dyDescent="0.25">
      <c r="B178" s="1081" t="s">
        <v>819</v>
      </c>
      <c r="C178" s="1082" t="s">
        <v>815</v>
      </c>
      <c r="D178" s="1089" t="s">
        <v>820</v>
      </c>
      <c r="E178" s="760">
        <v>0</v>
      </c>
      <c r="F178" s="347">
        <f>$E$10</f>
        <v>0</v>
      </c>
      <c r="G178" s="739"/>
      <c r="H178" s="255" t="s">
        <v>821</v>
      </c>
      <c r="I178" s="1101"/>
      <c r="J178" s="910" t="s">
        <v>353</v>
      </c>
    </row>
    <row r="179" spans="2:10" s="692" customFormat="1" ht="24.6" customHeight="1" x14ac:dyDescent="0.25">
      <c r="B179" s="767" t="s">
        <v>822</v>
      </c>
      <c r="C179" s="768" t="s">
        <v>823</v>
      </c>
      <c r="D179" s="886" t="s">
        <v>824</v>
      </c>
      <c r="E179" s="760">
        <v>0</v>
      </c>
      <c r="F179" s="639" t="s">
        <v>539</v>
      </c>
      <c r="G179" s="739"/>
      <c r="H179" s="255"/>
      <c r="I179" s="1101"/>
      <c r="J179" s="910"/>
    </row>
    <row r="180" spans="2:10" s="692" customFormat="1" ht="24.6" customHeight="1" x14ac:dyDescent="0.25">
      <c r="B180" s="767" t="s">
        <v>825</v>
      </c>
      <c r="C180" s="768" t="s">
        <v>826</v>
      </c>
      <c r="D180" s="886" t="s">
        <v>827</v>
      </c>
      <c r="E180" s="760" t="s">
        <v>399</v>
      </c>
      <c r="F180" s="639" t="s">
        <v>400</v>
      </c>
      <c r="G180" s="739"/>
      <c r="H180" s="255"/>
      <c r="I180" s="1101"/>
      <c r="J180" s="910"/>
    </row>
    <row r="181" spans="2:10" s="692" customFormat="1" ht="24.6" customHeight="1" x14ac:dyDescent="0.25">
      <c r="B181" s="1081" t="s">
        <v>828</v>
      </c>
      <c r="C181" s="1082" t="s">
        <v>829</v>
      </c>
      <c r="D181" s="1089" t="s">
        <v>830</v>
      </c>
      <c r="E181" s="760">
        <v>0</v>
      </c>
      <c r="F181" s="344" t="s">
        <v>210</v>
      </c>
      <c r="G181" s="739"/>
      <c r="H181" s="32" t="s">
        <v>831</v>
      </c>
      <c r="I181" s="1101"/>
      <c r="J181" s="910" t="s">
        <v>353</v>
      </c>
    </row>
    <row r="182" spans="2:10" s="692" customFormat="1" ht="24.6" customHeight="1" x14ac:dyDescent="0.25">
      <c r="B182" s="1190" t="s">
        <v>832</v>
      </c>
      <c r="C182" s="1191" t="s">
        <v>833</v>
      </c>
      <c r="D182" s="1088" t="s">
        <v>834</v>
      </c>
      <c r="E182" s="760">
        <v>0</v>
      </c>
      <c r="F182" s="652" t="s">
        <v>835</v>
      </c>
      <c r="G182" s="739"/>
      <c r="H182" s="32" t="s">
        <v>836</v>
      </c>
      <c r="I182" s="1101"/>
      <c r="J182" s="910" t="s">
        <v>353</v>
      </c>
    </row>
    <row r="183" spans="2:10" s="692" customFormat="1" ht="24.6" customHeight="1" x14ac:dyDescent="0.25">
      <c r="B183" s="1190" t="s">
        <v>837</v>
      </c>
      <c r="C183" s="1191" t="s">
        <v>833</v>
      </c>
      <c r="D183" s="1088" t="s">
        <v>838</v>
      </c>
      <c r="E183" s="760">
        <v>0</v>
      </c>
      <c r="F183" s="350"/>
      <c r="G183" s="739"/>
      <c r="H183" s="32" t="s">
        <v>839</v>
      </c>
      <c r="I183" s="1101"/>
      <c r="J183" s="910" t="s">
        <v>353</v>
      </c>
    </row>
    <row r="184" spans="2:10" s="692" customFormat="1" ht="24.6" customHeight="1" x14ac:dyDescent="0.25">
      <c r="B184" s="1200" t="s">
        <v>840</v>
      </c>
      <c r="C184" s="1201" t="s">
        <v>841</v>
      </c>
      <c r="D184" s="788" t="s">
        <v>842</v>
      </c>
      <c r="E184" s="760" t="s">
        <v>399</v>
      </c>
      <c r="F184" s="639" t="s">
        <v>400</v>
      </c>
      <c r="G184" s="739"/>
      <c r="H184" s="32"/>
      <c r="I184" s="1101"/>
      <c r="J184" s="910"/>
    </row>
    <row r="185" spans="2:10" s="692" customFormat="1" ht="24.6" customHeight="1" x14ac:dyDescent="0.25">
      <c r="B185" s="1200" t="s">
        <v>843</v>
      </c>
      <c r="C185" s="1201" t="s">
        <v>844</v>
      </c>
      <c r="D185" s="788" t="s">
        <v>845</v>
      </c>
      <c r="E185" s="760" t="s">
        <v>399</v>
      </c>
      <c r="F185" s="639" t="s">
        <v>400</v>
      </c>
      <c r="G185" s="739"/>
      <c r="H185" s="32"/>
      <c r="I185" s="1101"/>
      <c r="J185" s="910"/>
    </row>
    <row r="186" spans="2:10" s="692" customFormat="1" ht="24.6" customHeight="1" x14ac:dyDescent="0.25">
      <c r="B186" s="1190" t="s">
        <v>846</v>
      </c>
      <c r="C186" s="1191" t="s">
        <v>847</v>
      </c>
      <c r="D186" s="1088" t="s">
        <v>848</v>
      </c>
      <c r="E186" s="760">
        <v>0</v>
      </c>
      <c r="F186" s="350"/>
      <c r="G186" s="739"/>
      <c r="H186" s="32"/>
      <c r="I186" s="1101"/>
      <c r="J186" s="910"/>
    </row>
    <row r="187" spans="2:10" s="692" customFormat="1" ht="24.6" customHeight="1" x14ac:dyDescent="0.25">
      <c r="B187" s="1190" t="s">
        <v>849</v>
      </c>
      <c r="C187" s="1191" t="s">
        <v>847</v>
      </c>
      <c r="D187" s="1088" t="s">
        <v>775</v>
      </c>
      <c r="E187" s="760">
        <v>0</v>
      </c>
      <c r="F187" s="350"/>
      <c r="G187" s="739"/>
      <c r="H187" s="32"/>
      <c r="I187" s="1101"/>
      <c r="J187" s="910"/>
    </row>
    <row r="188" spans="2:10" s="692" customFormat="1" ht="24.6" customHeight="1" x14ac:dyDescent="0.25">
      <c r="B188" s="1153" t="s">
        <v>850</v>
      </c>
      <c r="C188" s="1154"/>
      <c r="D188" s="1155" t="s">
        <v>851</v>
      </c>
      <c r="E188" s="760">
        <v>0</v>
      </c>
      <c r="F188" s="350"/>
      <c r="G188" s="739"/>
      <c r="H188" s="32" t="s">
        <v>852</v>
      </c>
      <c r="I188" s="1101"/>
      <c r="J188" s="910" t="s">
        <v>353</v>
      </c>
    </row>
    <row r="189" spans="2:10" s="692" customFormat="1" ht="24.6" customHeight="1" x14ac:dyDescent="0.25">
      <c r="B189" s="1113" t="s">
        <v>853</v>
      </c>
      <c r="C189" s="1114" t="s">
        <v>854</v>
      </c>
      <c r="D189" s="1155" t="s">
        <v>855</v>
      </c>
      <c r="E189" s="760">
        <v>0</v>
      </c>
      <c r="F189" s="347" t="s">
        <v>371</v>
      </c>
      <c r="G189" s="739"/>
      <c r="H189" s="255" t="s">
        <v>856</v>
      </c>
      <c r="I189" s="1101"/>
      <c r="J189" s="910" t="s">
        <v>353</v>
      </c>
    </row>
    <row r="190" spans="2:10" s="692" customFormat="1" ht="24.6" customHeight="1" x14ac:dyDescent="0.25">
      <c r="B190" s="1113" t="s">
        <v>857</v>
      </c>
      <c r="C190" s="1114" t="s">
        <v>858</v>
      </c>
      <c r="D190" s="1216" t="s">
        <v>859</v>
      </c>
      <c r="E190" s="760">
        <v>0</v>
      </c>
      <c r="F190" s="350" t="s">
        <v>860</v>
      </c>
      <c r="G190" s="739"/>
      <c r="H190" s="34" t="s">
        <v>861</v>
      </c>
      <c r="I190" s="1101"/>
      <c r="J190" s="910" t="s">
        <v>353</v>
      </c>
    </row>
    <row r="191" spans="2:10" s="692" customFormat="1" ht="24.6" customHeight="1" x14ac:dyDescent="0.25">
      <c r="B191" s="1113" t="s">
        <v>862</v>
      </c>
      <c r="C191" s="1114" t="s">
        <v>863</v>
      </c>
      <c r="D191" s="1217" t="s">
        <v>864</v>
      </c>
      <c r="E191" s="760">
        <v>0</v>
      </c>
      <c r="F191" s="344" t="s">
        <v>865</v>
      </c>
      <c r="G191" s="739"/>
      <c r="H191" s="345" t="s">
        <v>866</v>
      </c>
      <c r="I191" s="1101"/>
      <c r="J191" s="910" t="s">
        <v>353</v>
      </c>
    </row>
    <row r="192" spans="2:10" s="692" customFormat="1" ht="24.6" customHeight="1" x14ac:dyDescent="0.25">
      <c r="B192" s="1113" t="s">
        <v>867</v>
      </c>
      <c r="C192" s="1114" t="s">
        <v>868</v>
      </c>
      <c r="D192" s="1218" t="s">
        <v>869</v>
      </c>
      <c r="E192" s="760" t="s">
        <v>399</v>
      </c>
      <c r="F192" s="639" t="s">
        <v>400</v>
      </c>
      <c r="G192" s="739"/>
      <c r="H192" s="34"/>
      <c r="I192" s="1101"/>
      <c r="J192" s="910" t="s">
        <v>353</v>
      </c>
    </row>
    <row r="193" spans="2:10" s="692" customFormat="1" ht="44.1" customHeight="1" x14ac:dyDescent="0.25">
      <c r="B193" s="1113" t="s">
        <v>870</v>
      </c>
      <c r="C193" s="1114" t="s">
        <v>871</v>
      </c>
      <c r="D193" s="1217" t="s">
        <v>872</v>
      </c>
      <c r="E193" s="760">
        <v>0</v>
      </c>
      <c r="F193" s="345" t="s">
        <v>210</v>
      </c>
      <c r="G193" s="739"/>
      <c r="H193" s="347" t="s">
        <v>873</v>
      </c>
      <c r="I193" s="1101"/>
      <c r="J193" s="910" t="s">
        <v>353</v>
      </c>
    </row>
    <row r="194" spans="2:10" s="692" customFormat="1" ht="24.6" customHeight="1" x14ac:dyDescent="0.25">
      <c r="D194" s="362" t="s">
        <v>874</v>
      </c>
      <c r="E194" s="760">
        <v>0</v>
      </c>
      <c r="F194" s="1100"/>
      <c r="G194" s="1111"/>
      <c r="H194" s="709"/>
      <c r="I194" s="709"/>
      <c r="J194" s="709"/>
    </row>
    <row r="195" spans="2:10" s="692" customFormat="1" ht="24.6" customHeight="1" x14ac:dyDescent="0.25">
      <c r="B195" s="767" t="s">
        <v>875</v>
      </c>
      <c r="C195" s="1338" t="s">
        <v>397</v>
      </c>
      <c r="D195" s="767" t="s">
        <v>876</v>
      </c>
      <c r="E195" s="760" t="s">
        <v>399</v>
      </c>
      <c r="F195" s="639" t="s">
        <v>400</v>
      </c>
      <c r="G195" s="1111"/>
      <c r="H195" s="709"/>
      <c r="I195" s="709"/>
      <c r="J195" s="709"/>
    </row>
    <row r="196" spans="2:10" s="692" customFormat="1" ht="24.6" customHeight="1" x14ac:dyDescent="0.25">
      <c r="B196" s="767" t="s">
        <v>877</v>
      </c>
      <c r="C196" s="1338" t="s">
        <v>405</v>
      </c>
      <c r="D196" s="767" t="s">
        <v>878</v>
      </c>
      <c r="E196" s="760" t="s">
        <v>399</v>
      </c>
      <c r="F196" s="639" t="s">
        <v>400</v>
      </c>
      <c r="G196" s="1111"/>
      <c r="H196" s="709"/>
      <c r="I196" s="709"/>
      <c r="J196" s="709"/>
    </row>
    <row r="197" spans="2:10" s="692" customFormat="1" ht="24.6" customHeight="1" x14ac:dyDescent="0.25">
      <c r="B197" s="767" t="s">
        <v>879</v>
      </c>
      <c r="C197" s="1339" t="s">
        <v>408</v>
      </c>
      <c r="D197" s="767" t="s">
        <v>880</v>
      </c>
      <c r="E197" s="760" t="s">
        <v>399</v>
      </c>
      <c r="F197" s="639" t="s">
        <v>400</v>
      </c>
      <c r="G197" s="1111"/>
      <c r="H197" s="709"/>
      <c r="I197" s="709"/>
      <c r="J197" s="709"/>
    </row>
    <row r="198" spans="2:10" s="692" customFormat="1" ht="24.6" customHeight="1" x14ac:dyDescent="0.25">
      <c r="B198" s="767" t="s">
        <v>881</v>
      </c>
      <c r="C198" s="1339" t="s">
        <v>420</v>
      </c>
      <c r="D198" s="767" t="s">
        <v>882</v>
      </c>
      <c r="E198" s="760" t="s">
        <v>399</v>
      </c>
      <c r="F198" s="639" t="s">
        <v>400</v>
      </c>
      <c r="G198" s="1111"/>
      <c r="H198" s="709"/>
      <c r="I198" s="709"/>
      <c r="J198" s="709"/>
    </row>
    <row r="199" spans="2:10" s="692" customFormat="1" ht="24.6" customHeight="1" x14ac:dyDescent="0.25">
      <c r="B199" s="767" t="s">
        <v>883</v>
      </c>
      <c r="C199" s="1339" t="s">
        <v>528</v>
      </c>
      <c r="D199" s="1411" t="s">
        <v>884</v>
      </c>
      <c r="E199" s="760" t="s">
        <v>399</v>
      </c>
      <c r="F199" s="639" t="s">
        <v>400</v>
      </c>
      <c r="G199" s="1111"/>
      <c r="H199" s="709"/>
      <c r="I199" s="709"/>
      <c r="J199" s="709"/>
    </row>
    <row r="200" spans="2:10" s="692" customFormat="1" ht="24.6" customHeight="1" x14ac:dyDescent="0.25">
      <c r="B200" s="767" t="s">
        <v>885</v>
      </c>
      <c r="C200" s="1339" t="s">
        <v>196</v>
      </c>
      <c r="D200" s="1411" t="s">
        <v>886</v>
      </c>
      <c r="E200" s="760">
        <v>0</v>
      </c>
      <c r="F200" s="639" t="s">
        <v>371</v>
      </c>
      <c r="G200" s="1111"/>
      <c r="H200" s="709"/>
      <c r="I200" s="709"/>
      <c r="J200" s="709"/>
    </row>
    <row r="201" spans="2:10" s="692" customFormat="1" ht="24.6" customHeight="1" x14ac:dyDescent="0.25">
      <c r="B201" s="767" t="s">
        <v>887</v>
      </c>
      <c r="C201" s="1339" t="s">
        <v>196</v>
      </c>
      <c r="D201" s="767" t="s">
        <v>888</v>
      </c>
      <c r="E201" s="760">
        <v>0</v>
      </c>
      <c r="F201" s="639" t="s">
        <v>371</v>
      </c>
      <c r="G201" s="1111"/>
      <c r="H201" s="709"/>
      <c r="I201" s="709"/>
      <c r="J201" s="709"/>
    </row>
    <row r="202" spans="2:10" s="692" customFormat="1" ht="24.6" customHeight="1" x14ac:dyDescent="0.25">
      <c r="B202" s="767" t="s">
        <v>889</v>
      </c>
      <c r="C202" s="1339" t="s">
        <v>196</v>
      </c>
      <c r="D202" s="767" t="s">
        <v>890</v>
      </c>
      <c r="E202" s="760">
        <v>0</v>
      </c>
      <c r="F202" s="639" t="s">
        <v>371</v>
      </c>
      <c r="G202" s="1111"/>
      <c r="H202" s="709"/>
      <c r="I202" s="709"/>
      <c r="J202" s="709"/>
    </row>
    <row r="203" spans="2:10" s="692" customFormat="1" ht="24.6" customHeight="1" x14ac:dyDescent="0.25">
      <c r="B203" s="767" t="s">
        <v>891</v>
      </c>
      <c r="C203" s="1339" t="s">
        <v>755</v>
      </c>
      <c r="D203" s="767" t="s">
        <v>892</v>
      </c>
      <c r="E203" s="760" t="s">
        <v>399</v>
      </c>
      <c r="F203" s="639" t="s">
        <v>400</v>
      </c>
      <c r="G203" s="1111"/>
      <c r="H203" s="709"/>
      <c r="I203" s="709"/>
      <c r="J203" s="709"/>
    </row>
    <row r="204" spans="2:10" s="692" customFormat="1" ht="24.6" customHeight="1" x14ac:dyDescent="0.25">
      <c r="B204" s="767" t="s">
        <v>893</v>
      </c>
      <c r="C204" s="1339" t="s">
        <v>755</v>
      </c>
      <c r="D204" s="767" t="s">
        <v>894</v>
      </c>
      <c r="E204" s="760" t="s">
        <v>399</v>
      </c>
      <c r="F204" s="639" t="s">
        <v>400</v>
      </c>
      <c r="G204" s="1111"/>
      <c r="H204" s="709"/>
      <c r="I204" s="709"/>
      <c r="J204" s="709"/>
    </row>
    <row r="205" spans="2:10" s="692" customFormat="1" ht="24.6" customHeight="1" x14ac:dyDescent="0.25">
      <c r="B205" s="767" t="s">
        <v>895</v>
      </c>
      <c r="C205" s="1339" t="s">
        <v>755</v>
      </c>
      <c r="D205" s="767" t="s">
        <v>760</v>
      </c>
      <c r="E205" s="760" t="s">
        <v>399</v>
      </c>
      <c r="F205" s="639" t="s">
        <v>400</v>
      </c>
      <c r="G205" s="1111"/>
      <c r="H205" s="709"/>
      <c r="I205" s="709"/>
      <c r="J205" s="709"/>
    </row>
    <row r="206" spans="2:10" s="692" customFormat="1" ht="24.6" customHeight="1" x14ac:dyDescent="0.25">
      <c r="B206" s="767" t="s">
        <v>896</v>
      </c>
      <c r="C206" s="1339" t="s">
        <v>762</v>
      </c>
      <c r="D206" s="767" t="s">
        <v>897</v>
      </c>
      <c r="E206" s="760" t="s">
        <v>399</v>
      </c>
      <c r="F206" s="639" t="s">
        <v>400</v>
      </c>
      <c r="G206" s="1111"/>
      <c r="H206" s="709"/>
      <c r="I206" s="709"/>
      <c r="J206" s="709"/>
    </row>
    <row r="207" spans="2:10" s="692" customFormat="1" ht="24.6" customHeight="1" x14ac:dyDescent="0.25">
      <c r="B207" s="767" t="s">
        <v>898</v>
      </c>
      <c r="C207" s="1339" t="s">
        <v>762</v>
      </c>
      <c r="D207" s="767" t="s">
        <v>899</v>
      </c>
      <c r="E207" s="760" t="s">
        <v>399</v>
      </c>
      <c r="F207" s="639" t="s">
        <v>400</v>
      </c>
      <c r="G207" s="1111"/>
      <c r="H207" s="709"/>
      <c r="I207" s="709"/>
      <c r="J207" s="709"/>
    </row>
    <row r="208" spans="2:10" s="692" customFormat="1" ht="37.5" customHeight="1" x14ac:dyDescent="0.25">
      <c r="B208" s="767" t="s">
        <v>900</v>
      </c>
      <c r="C208" s="1339" t="s">
        <v>762</v>
      </c>
      <c r="D208" s="1412" t="s">
        <v>767</v>
      </c>
      <c r="E208" s="760" t="s">
        <v>399</v>
      </c>
      <c r="F208" s="639" t="s">
        <v>400</v>
      </c>
      <c r="G208" s="1111"/>
      <c r="H208" s="709"/>
      <c r="I208" s="709"/>
      <c r="J208" s="709"/>
    </row>
    <row r="209" spans="1:13" s="692" customFormat="1" ht="37.5" customHeight="1" x14ac:dyDescent="0.25">
      <c r="B209" s="767" t="s">
        <v>901</v>
      </c>
      <c r="C209" s="1339" t="s">
        <v>762</v>
      </c>
      <c r="D209" s="1412" t="s">
        <v>769</v>
      </c>
      <c r="E209" s="760" t="s">
        <v>399</v>
      </c>
      <c r="F209" s="639" t="s">
        <v>400</v>
      </c>
      <c r="G209" s="1111"/>
      <c r="H209" s="709"/>
      <c r="I209" s="709"/>
      <c r="J209" s="709"/>
    </row>
    <row r="210" spans="1:13" s="692" customFormat="1" ht="24.6" customHeight="1" x14ac:dyDescent="0.25">
      <c r="B210" s="767" t="s">
        <v>902</v>
      </c>
      <c r="C210" s="1339" t="s">
        <v>788</v>
      </c>
      <c r="D210" s="767" t="s">
        <v>903</v>
      </c>
      <c r="E210" s="760">
        <v>0</v>
      </c>
      <c r="F210" s="639" t="s">
        <v>371</v>
      </c>
      <c r="G210" s="1111"/>
      <c r="H210" s="709"/>
      <c r="I210" s="709"/>
      <c r="J210" s="709"/>
    </row>
    <row r="211" spans="1:13" s="692" customFormat="1" ht="24.6" customHeight="1" x14ac:dyDescent="0.25">
      <c r="B211" s="767" t="s">
        <v>904</v>
      </c>
      <c r="C211" s="1339" t="s">
        <v>841</v>
      </c>
      <c r="D211" s="767" t="s">
        <v>842</v>
      </c>
      <c r="E211" s="760" t="s">
        <v>399</v>
      </c>
      <c r="F211" s="639" t="s">
        <v>400</v>
      </c>
      <c r="G211" s="1111"/>
      <c r="H211" s="709"/>
      <c r="I211" s="709"/>
      <c r="J211" s="709"/>
    </row>
    <row r="212" spans="1:13" s="692" customFormat="1" ht="24.6" customHeight="1" x14ac:dyDescent="0.25">
      <c r="B212" s="767" t="s">
        <v>905</v>
      </c>
      <c r="C212" s="1339" t="s">
        <v>844</v>
      </c>
      <c r="D212" s="767" t="s">
        <v>845</v>
      </c>
      <c r="E212" s="760" t="s">
        <v>399</v>
      </c>
      <c r="F212" s="639" t="s">
        <v>400</v>
      </c>
      <c r="G212" s="1111"/>
      <c r="H212" s="709"/>
      <c r="I212" s="709"/>
      <c r="J212" s="709"/>
    </row>
    <row r="213" spans="1:13" s="692" customFormat="1" ht="24.6" customHeight="1" x14ac:dyDescent="0.25">
      <c r="C213" s="374"/>
      <c r="D213" s="736" t="s">
        <v>906</v>
      </c>
      <c r="E213" s="760">
        <v>0</v>
      </c>
      <c r="F213" s="653"/>
      <c r="G213" s="739"/>
      <c r="H213" s="709"/>
      <c r="I213" s="1101"/>
      <c r="J213" s="910"/>
    </row>
    <row r="214" spans="1:13" s="692" customFormat="1" ht="24.6" customHeight="1" x14ac:dyDescent="0.25">
      <c r="B214" s="1081" t="s">
        <v>907</v>
      </c>
      <c r="C214" s="1082" t="s">
        <v>908</v>
      </c>
      <c r="D214" s="1256" t="s">
        <v>909</v>
      </c>
      <c r="E214" s="760">
        <v>0</v>
      </c>
      <c r="F214" s="639" t="s">
        <v>371</v>
      </c>
      <c r="G214" s="739"/>
      <c r="H214" s="710" t="s">
        <v>910</v>
      </c>
      <c r="I214" s="910" t="s">
        <v>353</v>
      </c>
      <c r="J214" s="910"/>
    </row>
    <row r="215" spans="1:13" s="692" customFormat="1" ht="24.6" customHeight="1" x14ac:dyDescent="0.25">
      <c r="B215" s="1081" t="s">
        <v>911</v>
      </c>
      <c r="C215" s="1082" t="s">
        <v>908</v>
      </c>
      <c r="D215" s="1085" t="s">
        <v>912</v>
      </c>
      <c r="E215" s="760">
        <v>0</v>
      </c>
      <c r="F215" s="350" t="s">
        <v>428</v>
      </c>
      <c r="G215" s="739"/>
      <c r="H215" s="710" t="s">
        <v>910</v>
      </c>
      <c r="I215" s="910" t="s">
        <v>353</v>
      </c>
      <c r="J215" s="910"/>
    </row>
    <row r="216" spans="1:13" s="692" customFormat="1" ht="21.6" customHeight="1" x14ac:dyDescent="0.25">
      <c r="B216" s="1081" t="s">
        <v>913</v>
      </c>
      <c r="C216" s="1082" t="s">
        <v>914</v>
      </c>
      <c r="D216" s="1257" t="s">
        <v>915</v>
      </c>
      <c r="E216" s="760">
        <v>0</v>
      </c>
      <c r="F216" s="350" t="s">
        <v>210</v>
      </c>
      <c r="G216" s="739"/>
      <c r="H216" s="709"/>
      <c r="I216" s="1101"/>
      <c r="J216" s="910" t="s">
        <v>353</v>
      </c>
    </row>
    <row r="217" spans="1:13" ht="18.75" x14ac:dyDescent="0.25">
      <c r="A217" s="692" t="s">
        <v>567</v>
      </c>
      <c r="B217" s="692"/>
      <c r="C217" s="374"/>
      <c r="D217" s="362" t="s">
        <v>916</v>
      </c>
      <c r="E217" s="760">
        <v>0</v>
      </c>
      <c r="F217" s="653"/>
      <c r="G217" s="739"/>
      <c r="H217" s="349" t="s">
        <v>917</v>
      </c>
      <c r="I217" s="1101"/>
      <c r="J217" s="910"/>
      <c r="K217" s="692"/>
      <c r="L217" s="692" t="s">
        <v>567</v>
      </c>
      <c r="M217" s="692" t="s">
        <v>832</v>
      </c>
    </row>
    <row r="218" spans="1:13" ht="18.75" x14ac:dyDescent="0.25">
      <c r="A218" s="692" t="s">
        <v>567</v>
      </c>
      <c r="B218" s="767" t="s">
        <v>918</v>
      </c>
      <c r="C218" s="768" t="s">
        <v>919</v>
      </c>
      <c r="D218" s="771" t="s">
        <v>920</v>
      </c>
      <c r="E218" s="760">
        <v>0</v>
      </c>
      <c r="F218" s="349" t="s">
        <v>390</v>
      </c>
      <c r="G218" s="739"/>
      <c r="H218" s="998"/>
      <c r="I218" s="1101"/>
      <c r="J218" s="910" t="s">
        <v>353</v>
      </c>
      <c r="K218" s="692"/>
      <c r="L218" s="692" t="s">
        <v>567</v>
      </c>
      <c r="M218" s="692" t="s">
        <v>850</v>
      </c>
    </row>
    <row r="219" spans="1:13" s="692" customFormat="1" ht="27" x14ac:dyDescent="0.25">
      <c r="B219" s="767" t="s">
        <v>921</v>
      </c>
      <c r="C219" s="768" t="s">
        <v>919</v>
      </c>
      <c r="D219" s="770" t="s">
        <v>922</v>
      </c>
      <c r="E219" s="760">
        <v>0</v>
      </c>
      <c r="F219" s="345" t="s">
        <v>611</v>
      </c>
      <c r="G219" s="739"/>
      <c r="H219" s="349" t="s">
        <v>612</v>
      </c>
      <c r="I219" s="1101"/>
      <c r="J219" s="910" t="s">
        <v>353</v>
      </c>
    </row>
    <row r="220" spans="1:13" ht="18.75" x14ac:dyDescent="0.25">
      <c r="A220" s="692" t="s">
        <v>567</v>
      </c>
      <c r="B220" s="692"/>
      <c r="C220" s="374"/>
      <c r="D220" s="346" t="s">
        <v>923</v>
      </c>
      <c r="E220" s="760">
        <v>0</v>
      </c>
      <c r="F220" s="345"/>
      <c r="G220" s="739"/>
      <c r="H220" s="1105" t="s">
        <v>923</v>
      </c>
      <c r="I220" s="1101"/>
      <c r="J220" s="910"/>
      <c r="K220" s="692"/>
      <c r="L220" s="692" t="s">
        <v>567</v>
      </c>
      <c r="M220" s="692" t="s">
        <v>475</v>
      </c>
    </row>
    <row r="221" spans="1:13" ht="18.75" x14ac:dyDescent="0.25">
      <c r="A221" s="692" t="s">
        <v>567</v>
      </c>
      <c r="B221" s="767" t="s">
        <v>924</v>
      </c>
      <c r="C221" s="768" t="s">
        <v>919</v>
      </c>
      <c r="D221" s="770" t="s">
        <v>925</v>
      </c>
      <c r="E221" s="760">
        <v>0</v>
      </c>
      <c r="F221" s="349" t="s">
        <v>926</v>
      </c>
      <c r="G221" s="739"/>
      <c r="H221" s="349"/>
      <c r="I221" s="1101"/>
      <c r="J221" s="910" t="s">
        <v>353</v>
      </c>
      <c r="K221" s="692"/>
      <c r="L221" s="692" t="s">
        <v>567</v>
      </c>
      <c r="M221" s="692" t="s">
        <v>482</v>
      </c>
    </row>
    <row r="222" spans="1:13" ht="18.75" x14ac:dyDescent="0.25">
      <c r="A222" s="692" t="s">
        <v>567</v>
      </c>
      <c r="B222" s="767" t="s">
        <v>927</v>
      </c>
      <c r="C222" s="768" t="s">
        <v>919</v>
      </c>
      <c r="D222" s="770" t="s">
        <v>928</v>
      </c>
      <c r="E222" s="760">
        <v>0</v>
      </c>
      <c r="F222" s="349" t="s">
        <v>929</v>
      </c>
      <c r="G222" s="739"/>
      <c r="H222" s="193"/>
      <c r="I222" s="1101"/>
      <c r="J222" s="910" t="s">
        <v>353</v>
      </c>
      <c r="K222" s="692"/>
      <c r="L222" s="692" t="s">
        <v>567</v>
      </c>
      <c r="M222" s="692" t="s">
        <v>485</v>
      </c>
    </row>
    <row r="223" spans="1:13" ht="27" x14ac:dyDescent="0.25">
      <c r="A223" s="692" t="s">
        <v>334</v>
      </c>
      <c r="B223" s="767" t="s">
        <v>930</v>
      </c>
      <c r="C223" s="768" t="s">
        <v>919</v>
      </c>
      <c r="D223" s="770" t="s">
        <v>922</v>
      </c>
      <c r="E223" s="760">
        <v>0</v>
      </c>
      <c r="F223" s="345" t="s">
        <v>611</v>
      </c>
      <c r="G223" s="739"/>
      <c r="H223" s="349" t="s">
        <v>612</v>
      </c>
      <c r="I223" s="1101"/>
      <c r="J223" s="910" t="s">
        <v>353</v>
      </c>
      <c r="K223" s="692"/>
      <c r="L223" s="692" t="s">
        <v>334</v>
      </c>
      <c r="M223" s="692"/>
    </row>
    <row r="224" spans="1:13" ht="18.75" x14ac:dyDescent="0.25">
      <c r="A224" s="692" t="s">
        <v>931</v>
      </c>
      <c r="B224" s="767" t="s">
        <v>932</v>
      </c>
      <c r="C224" s="768" t="s">
        <v>919</v>
      </c>
      <c r="D224" s="770" t="s">
        <v>933</v>
      </c>
      <c r="E224" s="760">
        <v>0</v>
      </c>
      <c r="F224" s="349" t="s">
        <v>536</v>
      </c>
      <c r="G224" s="739"/>
      <c r="H224" s="193"/>
      <c r="I224" s="1101"/>
      <c r="J224" s="910" t="s">
        <v>353</v>
      </c>
      <c r="K224" s="692"/>
      <c r="L224" s="692" t="s">
        <v>931</v>
      </c>
      <c r="M224" s="692" t="s">
        <v>907</v>
      </c>
    </row>
    <row r="225" spans="1:13" s="607" customFormat="1" ht="18.75" x14ac:dyDescent="0.25">
      <c r="A225" s="692" t="s">
        <v>931</v>
      </c>
      <c r="B225" s="692"/>
      <c r="C225" s="374"/>
      <c r="D225" s="362" t="s">
        <v>934</v>
      </c>
      <c r="E225" s="760">
        <v>0</v>
      </c>
      <c r="F225" s="653"/>
      <c r="G225" s="739"/>
      <c r="H225" s="709"/>
      <c r="I225" s="1101"/>
      <c r="J225" s="910"/>
      <c r="K225" s="692"/>
      <c r="L225" s="692" t="s">
        <v>931</v>
      </c>
      <c r="M225" s="692" t="s">
        <v>911</v>
      </c>
    </row>
    <row r="226" spans="1:13" ht="18.75" x14ac:dyDescent="0.25">
      <c r="A226" s="692" t="s">
        <v>931</v>
      </c>
      <c r="B226" s="767" t="s">
        <v>935</v>
      </c>
      <c r="C226" s="768" t="s">
        <v>397</v>
      </c>
      <c r="D226" s="791" t="s">
        <v>936</v>
      </c>
      <c r="E226" s="760" t="s">
        <v>399</v>
      </c>
      <c r="F226" s="639" t="s">
        <v>400</v>
      </c>
      <c r="G226" s="739"/>
      <c r="H226" s="709"/>
      <c r="I226" s="633" t="s">
        <v>353</v>
      </c>
      <c r="J226" s="910"/>
      <c r="K226" s="692"/>
      <c r="L226" s="692" t="s">
        <v>931</v>
      </c>
      <c r="M226" s="692" t="s">
        <v>913</v>
      </c>
    </row>
    <row r="227" spans="1:13" ht="18.75" x14ac:dyDescent="0.25">
      <c r="A227" s="692" t="s">
        <v>334</v>
      </c>
      <c r="B227" s="767" t="s">
        <v>937</v>
      </c>
      <c r="C227" s="768" t="s">
        <v>402</v>
      </c>
      <c r="D227" s="791" t="s">
        <v>403</v>
      </c>
      <c r="E227" s="760" t="s">
        <v>399</v>
      </c>
      <c r="F227" s="639" t="s">
        <v>400</v>
      </c>
      <c r="G227" s="739"/>
      <c r="H227" s="709"/>
      <c r="I227" s="633"/>
      <c r="J227" s="910"/>
      <c r="K227" s="692"/>
      <c r="L227" s="692" t="s">
        <v>334</v>
      </c>
      <c r="M227" s="692"/>
    </row>
    <row r="228" spans="1:13" ht="18.75" x14ac:dyDescent="0.25">
      <c r="A228" s="692" t="s">
        <v>938</v>
      </c>
      <c r="B228" s="767" t="s">
        <v>939</v>
      </c>
      <c r="C228" s="768" t="s">
        <v>405</v>
      </c>
      <c r="D228" s="791" t="s">
        <v>406</v>
      </c>
      <c r="E228" s="760" t="s">
        <v>399</v>
      </c>
      <c r="F228" s="639" t="s">
        <v>400</v>
      </c>
      <c r="G228" s="739"/>
      <c r="H228" s="709"/>
      <c r="I228" s="633"/>
      <c r="J228" s="910"/>
      <c r="K228" s="692"/>
      <c r="L228" s="692" t="s">
        <v>938</v>
      </c>
      <c r="M228" s="692" t="s">
        <v>918</v>
      </c>
    </row>
    <row r="229" spans="1:13" s="692" customFormat="1" ht="18.75" x14ac:dyDescent="0.25">
      <c r="B229" s="767" t="s">
        <v>940</v>
      </c>
      <c r="C229" s="768" t="s">
        <v>408</v>
      </c>
      <c r="D229" s="791" t="s">
        <v>409</v>
      </c>
      <c r="E229" s="760" t="s">
        <v>399</v>
      </c>
      <c r="F229" s="639" t="s">
        <v>400</v>
      </c>
      <c r="G229" s="739"/>
      <c r="H229" s="709"/>
      <c r="I229" s="633"/>
      <c r="J229" s="910"/>
    </row>
    <row r="230" spans="1:13" s="607" customFormat="1" ht="18.75" x14ac:dyDescent="0.25">
      <c r="A230" s="692" t="s">
        <v>938</v>
      </c>
      <c r="B230" s="767" t="s">
        <v>941</v>
      </c>
      <c r="C230" s="768" t="s">
        <v>411</v>
      </c>
      <c r="D230" s="791" t="s">
        <v>412</v>
      </c>
      <c r="E230" s="760" t="s">
        <v>399</v>
      </c>
      <c r="F230" s="639" t="s">
        <v>400</v>
      </c>
      <c r="G230" s="739"/>
      <c r="H230" s="709"/>
      <c r="I230" s="633"/>
      <c r="J230" s="910"/>
      <c r="K230" s="692"/>
      <c r="L230" s="692"/>
      <c r="M230" s="692"/>
    </row>
    <row r="231" spans="1:13" ht="18.75" x14ac:dyDescent="0.25">
      <c r="A231" s="692" t="s">
        <v>938</v>
      </c>
      <c r="B231" s="1081" t="s">
        <v>942</v>
      </c>
      <c r="C231" s="1082" t="s">
        <v>414</v>
      </c>
      <c r="D231" s="1092" t="s">
        <v>943</v>
      </c>
      <c r="E231" s="760" t="s">
        <v>399</v>
      </c>
      <c r="F231" s="639" t="s">
        <v>400</v>
      </c>
      <c r="G231" s="739"/>
      <c r="H231" s="34"/>
      <c r="I231" s="1101" t="s">
        <v>353</v>
      </c>
      <c r="J231" s="910"/>
      <c r="K231" s="692"/>
      <c r="L231" s="692" t="s">
        <v>938</v>
      </c>
      <c r="M231" s="692" t="s">
        <v>924</v>
      </c>
    </row>
    <row r="232" spans="1:13" ht="18.75" x14ac:dyDescent="0.25">
      <c r="A232" s="692" t="s">
        <v>938</v>
      </c>
      <c r="B232" s="767" t="s">
        <v>944</v>
      </c>
      <c r="C232" s="768" t="s">
        <v>417</v>
      </c>
      <c r="D232" s="774" t="s">
        <v>418</v>
      </c>
      <c r="E232" s="760" t="s">
        <v>399</v>
      </c>
      <c r="F232" s="639" t="s">
        <v>400</v>
      </c>
      <c r="G232" s="739"/>
      <c r="H232" s="34"/>
      <c r="I232" s="1101"/>
      <c r="J232" s="910"/>
      <c r="K232" s="692"/>
      <c r="L232" s="692" t="s">
        <v>938</v>
      </c>
      <c r="M232" s="692" t="s">
        <v>927</v>
      </c>
    </row>
    <row r="233" spans="1:13" s="692" customFormat="1" ht="18.75" x14ac:dyDescent="0.25">
      <c r="B233" s="1081" t="s">
        <v>945</v>
      </c>
      <c r="C233" s="1082" t="s">
        <v>946</v>
      </c>
      <c r="D233" s="1097" t="s">
        <v>947</v>
      </c>
      <c r="E233" s="760" t="s">
        <v>399</v>
      </c>
      <c r="F233" s="639" t="s">
        <v>400</v>
      </c>
      <c r="G233" s="739"/>
      <c r="H233" s="34"/>
      <c r="I233" s="1101" t="s">
        <v>353</v>
      </c>
      <c r="J233" s="910"/>
    </row>
    <row r="234" spans="1:13" s="692" customFormat="1" ht="18.75" x14ac:dyDescent="0.25">
      <c r="B234" s="767" t="s">
        <v>948</v>
      </c>
      <c r="C234" s="768" t="s">
        <v>949</v>
      </c>
      <c r="D234" s="816" t="s">
        <v>950</v>
      </c>
      <c r="E234" s="760" t="s">
        <v>399</v>
      </c>
      <c r="F234" s="639" t="s">
        <v>400</v>
      </c>
      <c r="G234" s="739"/>
      <c r="H234" s="34"/>
      <c r="I234" s="1101"/>
      <c r="J234" s="910"/>
    </row>
    <row r="235" spans="1:13" s="692" customFormat="1" ht="18.75" x14ac:dyDescent="0.25">
      <c r="B235" s="767" t="s">
        <v>951</v>
      </c>
      <c r="C235" s="768" t="s">
        <v>420</v>
      </c>
      <c r="D235" s="816" t="s">
        <v>952</v>
      </c>
      <c r="E235" s="760" t="s">
        <v>399</v>
      </c>
      <c r="F235" s="639" t="s">
        <v>400</v>
      </c>
      <c r="G235" s="739"/>
      <c r="H235" s="34"/>
      <c r="I235" s="1101"/>
      <c r="J235" s="910"/>
    </row>
    <row r="236" spans="1:13" s="692" customFormat="1" ht="27" x14ac:dyDescent="0.25">
      <c r="B236" s="1081" t="s">
        <v>953</v>
      </c>
      <c r="C236" s="1082" t="s">
        <v>423</v>
      </c>
      <c r="D236" s="1090" t="s">
        <v>424</v>
      </c>
      <c r="E236" s="760">
        <v>0</v>
      </c>
      <c r="F236" s="350" t="s">
        <v>371</v>
      </c>
      <c r="G236" s="739"/>
      <c r="H236" s="32" t="s">
        <v>425</v>
      </c>
      <c r="I236" s="1101" t="s">
        <v>353</v>
      </c>
      <c r="J236" s="910"/>
    </row>
    <row r="237" spans="1:13" s="692" customFormat="1" ht="27" x14ac:dyDescent="0.25">
      <c r="B237" s="1081" t="s">
        <v>954</v>
      </c>
      <c r="C237" s="1082" t="s">
        <v>423</v>
      </c>
      <c r="D237" s="1090" t="s">
        <v>427</v>
      </c>
      <c r="E237" s="760">
        <v>0</v>
      </c>
      <c r="F237" s="350" t="s">
        <v>428</v>
      </c>
      <c r="G237" s="739"/>
      <c r="H237" s="32" t="s">
        <v>425</v>
      </c>
      <c r="I237" s="1101" t="s">
        <v>353</v>
      </c>
      <c r="J237" s="910"/>
    </row>
    <row r="238" spans="1:13" s="692" customFormat="1" ht="18.75" x14ac:dyDescent="0.25">
      <c r="B238" s="767" t="s">
        <v>955</v>
      </c>
      <c r="C238" s="768" t="s">
        <v>430</v>
      </c>
      <c r="D238" s="775" t="s">
        <v>431</v>
      </c>
      <c r="E238" s="760" t="s">
        <v>399</v>
      </c>
      <c r="F238" s="639" t="s">
        <v>400</v>
      </c>
      <c r="G238" s="739"/>
      <c r="H238" s="32"/>
      <c r="I238" s="1101"/>
      <c r="J238" s="910"/>
    </row>
    <row r="239" spans="1:13" s="692" customFormat="1" ht="18.75" x14ac:dyDescent="0.3">
      <c r="B239" s="767" t="s">
        <v>956</v>
      </c>
      <c r="C239" s="768" t="s">
        <v>433</v>
      </c>
      <c r="D239" s="859" t="s">
        <v>434</v>
      </c>
      <c r="E239" s="760" t="s">
        <v>399</v>
      </c>
      <c r="F239" s="639" t="s">
        <v>400</v>
      </c>
      <c r="G239" s="739"/>
      <c r="H239" s="34" t="s">
        <v>435</v>
      </c>
      <c r="I239" s="1101" t="s">
        <v>353</v>
      </c>
      <c r="J239" s="910"/>
    </row>
    <row r="240" spans="1:13" s="692" customFormat="1" ht="18.75" x14ac:dyDescent="0.3">
      <c r="B240" s="767" t="s">
        <v>957</v>
      </c>
      <c r="C240" s="768" t="s">
        <v>433</v>
      </c>
      <c r="D240" s="859" t="s">
        <v>437</v>
      </c>
      <c r="E240" s="760" t="s">
        <v>399</v>
      </c>
      <c r="F240" s="639" t="s">
        <v>400</v>
      </c>
      <c r="G240" s="739"/>
      <c r="H240" s="34" t="s">
        <v>435</v>
      </c>
      <c r="I240" s="1101" t="s">
        <v>353</v>
      </c>
      <c r="J240" s="910"/>
    </row>
    <row r="241" spans="1:10" s="692" customFormat="1" ht="18.75" x14ac:dyDescent="0.25">
      <c r="A241" s="1081"/>
      <c r="B241" s="767" t="s">
        <v>958</v>
      </c>
      <c r="C241" s="768" t="s">
        <v>439</v>
      </c>
      <c r="D241" s="886" t="s">
        <v>440</v>
      </c>
      <c r="E241" s="760" t="s">
        <v>399</v>
      </c>
      <c r="F241" s="639" t="s">
        <v>400</v>
      </c>
      <c r="G241" s="739"/>
      <c r="H241" s="34" t="s">
        <v>435</v>
      </c>
      <c r="I241" s="1101" t="s">
        <v>353</v>
      </c>
      <c r="J241" s="910"/>
    </row>
    <row r="242" spans="1:10" s="692" customFormat="1" ht="18.75" x14ac:dyDescent="0.25">
      <c r="A242" s="1081"/>
      <c r="B242" s="1081" t="s">
        <v>959</v>
      </c>
      <c r="C242" s="1082" t="s">
        <v>442</v>
      </c>
      <c r="D242" s="1251" t="s">
        <v>445</v>
      </c>
      <c r="E242" s="760" t="s">
        <v>399</v>
      </c>
      <c r="F242" s="639" t="s">
        <v>400</v>
      </c>
      <c r="G242" s="739"/>
      <c r="H242" s="34" t="s">
        <v>435</v>
      </c>
      <c r="I242" s="1101" t="s">
        <v>353</v>
      </c>
      <c r="J242" s="910"/>
    </row>
    <row r="243" spans="1:10" s="692" customFormat="1" ht="18.75" x14ac:dyDescent="0.3">
      <c r="A243" s="1081"/>
      <c r="B243" s="767" t="s">
        <v>960</v>
      </c>
      <c r="C243" s="768" t="s">
        <v>442</v>
      </c>
      <c r="D243" s="859" t="s">
        <v>447</v>
      </c>
      <c r="E243" s="760" t="s">
        <v>399</v>
      </c>
      <c r="F243" s="639" t="s">
        <v>400</v>
      </c>
      <c r="G243" s="739"/>
      <c r="H243" s="34" t="s">
        <v>435</v>
      </c>
      <c r="I243" s="1101" t="s">
        <v>353</v>
      </c>
      <c r="J243" s="910"/>
    </row>
    <row r="244" spans="1:10" s="692" customFormat="1" ht="18.75" x14ac:dyDescent="0.3">
      <c r="A244" s="1081"/>
      <c r="B244" s="1081" t="s">
        <v>961</v>
      </c>
      <c r="C244" s="1082" t="s">
        <v>449</v>
      </c>
      <c r="D244" s="1094" t="s">
        <v>450</v>
      </c>
      <c r="E244" s="760" t="s">
        <v>399</v>
      </c>
      <c r="F244" s="639" t="s">
        <v>400</v>
      </c>
      <c r="G244" s="739"/>
      <c r="H244" s="34" t="s">
        <v>435</v>
      </c>
      <c r="I244" s="1101"/>
      <c r="J244" s="910" t="s">
        <v>353</v>
      </c>
    </row>
    <row r="245" spans="1:10" s="692" customFormat="1" ht="18.75" x14ac:dyDescent="0.25">
      <c r="A245" s="1081"/>
      <c r="B245" s="767" t="s">
        <v>962</v>
      </c>
      <c r="C245" s="768" t="s">
        <v>452</v>
      </c>
      <c r="D245" s="902" t="s">
        <v>453</v>
      </c>
      <c r="E245" s="760">
        <v>0</v>
      </c>
      <c r="F245" s="653" t="s">
        <v>210</v>
      </c>
      <c r="G245" s="739"/>
      <c r="H245" s="34" t="s">
        <v>435</v>
      </c>
      <c r="I245" s="1101"/>
      <c r="J245" s="910" t="s">
        <v>353</v>
      </c>
    </row>
    <row r="246" spans="1:10" s="692" customFormat="1" ht="18.75" x14ac:dyDescent="0.25">
      <c r="A246" s="1081"/>
      <c r="B246" s="1081" t="s">
        <v>963</v>
      </c>
      <c r="C246" s="1082" t="s">
        <v>455</v>
      </c>
      <c r="D246" s="1095" t="s">
        <v>964</v>
      </c>
      <c r="E246" s="760" t="s">
        <v>399</v>
      </c>
      <c r="F246" s="639" t="s">
        <v>400</v>
      </c>
      <c r="G246" s="739"/>
      <c r="H246" s="34" t="s">
        <v>435</v>
      </c>
      <c r="I246" s="1101" t="s">
        <v>353</v>
      </c>
      <c r="J246" s="910"/>
    </row>
    <row r="247" spans="1:10" s="692" customFormat="1" ht="18.75" x14ac:dyDescent="0.25">
      <c r="B247" s="1081" t="s">
        <v>965</v>
      </c>
      <c r="C247" s="1082" t="s">
        <v>458</v>
      </c>
      <c r="D247" s="1096" t="s">
        <v>459</v>
      </c>
      <c r="E247" s="760">
        <v>0</v>
      </c>
      <c r="F247" s="652"/>
      <c r="G247" s="739"/>
      <c r="H247" s="34" t="s">
        <v>435</v>
      </c>
      <c r="I247" s="1101" t="s">
        <v>353</v>
      </c>
      <c r="J247" s="910"/>
    </row>
    <row r="248" spans="1:10" s="692" customFormat="1" ht="18.75" x14ac:dyDescent="0.25">
      <c r="B248" s="1113" t="s">
        <v>966</v>
      </c>
      <c r="C248" s="1114" t="s">
        <v>458</v>
      </c>
      <c r="D248" s="1253" t="s">
        <v>468</v>
      </c>
      <c r="E248" s="760">
        <v>0</v>
      </c>
      <c r="F248" s="639"/>
      <c r="G248" s="739"/>
      <c r="H248" s="34" t="s">
        <v>435</v>
      </c>
      <c r="I248" s="1101" t="s">
        <v>353</v>
      </c>
      <c r="J248" s="910"/>
    </row>
    <row r="249" spans="1:10" s="692" customFormat="1" ht="18.75" x14ac:dyDescent="0.25">
      <c r="B249" s="1081" t="s">
        <v>967</v>
      </c>
      <c r="C249" s="1082" t="s">
        <v>458</v>
      </c>
      <c r="D249" s="1088" t="s">
        <v>461</v>
      </c>
      <c r="E249" s="760">
        <v>0</v>
      </c>
      <c r="F249" s="345" t="s">
        <v>462</v>
      </c>
      <c r="G249" s="739"/>
      <c r="H249" s="347" t="s">
        <v>463</v>
      </c>
      <c r="I249" s="1101" t="s">
        <v>353</v>
      </c>
      <c r="J249" s="910"/>
    </row>
    <row r="250" spans="1:10" s="692" customFormat="1" ht="18.75" x14ac:dyDescent="0.25">
      <c r="B250" s="1081" t="s">
        <v>968</v>
      </c>
      <c r="C250" s="1082" t="s">
        <v>458</v>
      </c>
      <c r="D250" s="1088" t="s">
        <v>465</v>
      </c>
      <c r="E250" s="760">
        <v>0</v>
      </c>
      <c r="F250" s="345" t="s">
        <v>462</v>
      </c>
      <c r="G250" s="739"/>
      <c r="H250" s="347"/>
      <c r="I250" s="1101"/>
      <c r="J250" s="910"/>
    </row>
    <row r="251" spans="1:10" s="692" customFormat="1" ht="18.75" x14ac:dyDescent="0.25">
      <c r="B251" s="1081" t="s">
        <v>969</v>
      </c>
      <c r="C251" s="1082" t="s">
        <v>470</v>
      </c>
      <c r="D251" s="1096" t="s">
        <v>970</v>
      </c>
      <c r="E251" s="760">
        <v>0</v>
      </c>
      <c r="F251" s="653" t="s">
        <v>210</v>
      </c>
      <c r="G251" s="739"/>
      <c r="H251" s="34" t="s">
        <v>435</v>
      </c>
      <c r="I251" s="1101" t="s">
        <v>353</v>
      </c>
      <c r="J251" s="910"/>
    </row>
    <row r="252" spans="1:10" s="692" customFormat="1" ht="18.75" x14ac:dyDescent="0.25">
      <c r="B252" s="1113" t="s">
        <v>971</v>
      </c>
      <c r="C252" s="1114" t="s">
        <v>473</v>
      </c>
      <c r="D252" s="1145" t="s">
        <v>474</v>
      </c>
      <c r="E252" s="760" t="s">
        <v>399</v>
      </c>
      <c r="F252" s="347" t="s">
        <v>400</v>
      </c>
      <c r="G252" s="739"/>
      <c r="H252" s="709"/>
      <c r="I252" s="1101" t="s">
        <v>353</v>
      </c>
      <c r="J252" s="910"/>
    </row>
    <row r="253" spans="1:10" s="692" customFormat="1" ht="18.75" x14ac:dyDescent="0.25">
      <c r="B253" s="1113" t="s">
        <v>972</v>
      </c>
      <c r="C253" s="1114" t="s">
        <v>473</v>
      </c>
      <c r="D253" s="1145" t="s">
        <v>476</v>
      </c>
      <c r="E253" s="760">
        <v>0</v>
      </c>
      <c r="F253" s="347"/>
      <c r="G253" s="739"/>
      <c r="H253" s="32" t="s">
        <v>477</v>
      </c>
      <c r="I253" s="1101" t="s">
        <v>353</v>
      </c>
      <c r="J253" s="910"/>
    </row>
    <row r="254" spans="1:10" s="692" customFormat="1" ht="18.75" x14ac:dyDescent="0.25">
      <c r="B254" s="767" t="s">
        <v>973</v>
      </c>
      <c r="C254" s="768" t="s">
        <v>473</v>
      </c>
      <c r="D254" s="904" t="s">
        <v>479</v>
      </c>
      <c r="E254" s="760" t="s">
        <v>399</v>
      </c>
      <c r="F254" s="347" t="s">
        <v>400</v>
      </c>
      <c r="G254" s="739"/>
      <c r="H254" s="32"/>
      <c r="I254" s="1101"/>
      <c r="J254" s="910"/>
    </row>
    <row r="255" spans="1:10" s="692" customFormat="1" ht="18.75" x14ac:dyDescent="0.25">
      <c r="B255" s="767" t="s">
        <v>974</v>
      </c>
      <c r="C255" s="768" t="s">
        <v>473</v>
      </c>
      <c r="D255" s="904" t="s">
        <v>481</v>
      </c>
      <c r="E255" s="760">
        <v>0</v>
      </c>
      <c r="F255" s="1307" t="s">
        <v>462</v>
      </c>
      <c r="G255" s="739"/>
      <c r="H255" s="32"/>
      <c r="I255" s="1101"/>
      <c r="J255" s="910"/>
    </row>
    <row r="256" spans="1:10" s="692" customFormat="1" ht="18.75" x14ac:dyDescent="0.25">
      <c r="B256" s="1081" t="s">
        <v>975</v>
      </c>
      <c r="C256" s="1082" t="s">
        <v>473</v>
      </c>
      <c r="D256" s="1097" t="s">
        <v>483</v>
      </c>
      <c r="E256" s="760">
        <v>0</v>
      </c>
      <c r="F256" s="345" t="s">
        <v>462</v>
      </c>
      <c r="G256" s="739"/>
      <c r="H256" s="34" t="s">
        <v>484</v>
      </c>
      <c r="I256" s="1101" t="s">
        <v>353</v>
      </c>
      <c r="J256" s="910"/>
    </row>
    <row r="257" spans="2:10" s="692" customFormat="1" ht="18.75" x14ac:dyDescent="0.25">
      <c r="B257" s="1081" t="s">
        <v>976</v>
      </c>
      <c r="C257" s="1082" t="s">
        <v>486</v>
      </c>
      <c r="D257" s="1085" t="s">
        <v>487</v>
      </c>
      <c r="E257" s="760">
        <v>0</v>
      </c>
      <c r="F257" s="347" t="s">
        <v>257</v>
      </c>
      <c r="G257" s="739"/>
      <c r="H257" s="32" t="s">
        <v>488</v>
      </c>
      <c r="I257" s="1101" t="s">
        <v>353</v>
      </c>
      <c r="J257" s="910"/>
    </row>
    <row r="258" spans="2:10" s="692" customFormat="1" ht="18.75" x14ac:dyDescent="0.3">
      <c r="B258" s="1113" t="s">
        <v>961</v>
      </c>
      <c r="C258" s="1114" t="s">
        <v>486</v>
      </c>
      <c r="D258" s="1221" t="s">
        <v>450</v>
      </c>
      <c r="E258" s="760">
        <v>0</v>
      </c>
      <c r="F258" s="639" t="s">
        <v>400</v>
      </c>
      <c r="G258" s="739"/>
      <c r="H258" s="34" t="s">
        <v>435</v>
      </c>
      <c r="I258" s="1101" t="s">
        <v>353</v>
      </c>
      <c r="J258" s="910"/>
    </row>
    <row r="259" spans="2:10" s="692" customFormat="1" ht="18.75" x14ac:dyDescent="0.25">
      <c r="B259" s="1081" t="s">
        <v>977</v>
      </c>
      <c r="C259" s="1082" t="s">
        <v>490</v>
      </c>
      <c r="D259" s="1097" t="s">
        <v>491</v>
      </c>
      <c r="E259" s="760">
        <v>0</v>
      </c>
      <c r="F259" s="347">
        <f t="shared" ref="F259:F264" si="2">$E$10</f>
        <v>0</v>
      </c>
      <c r="G259" s="739"/>
      <c r="H259" s="34" t="s">
        <v>435</v>
      </c>
      <c r="I259" s="1101" t="s">
        <v>353</v>
      </c>
      <c r="J259" s="910"/>
    </row>
    <row r="260" spans="2:10" s="692" customFormat="1" ht="18.75" x14ac:dyDescent="0.25">
      <c r="B260" s="767" t="s">
        <v>978</v>
      </c>
      <c r="C260" s="768" t="s">
        <v>490</v>
      </c>
      <c r="D260" s="904" t="s">
        <v>493</v>
      </c>
      <c r="E260" s="760">
        <v>0</v>
      </c>
      <c r="F260" s="347">
        <f t="shared" si="2"/>
        <v>0</v>
      </c>
      <c r="G260" s="739"/>
      <c r="H260" s="34" t="s">
        <v>435</v>
      </c>
      <c r="I260" s="1101" t="s">
        <v>353</v>
      </c>
      <c r="J260" s="910"/>
    </row>
    <row r="261" spans="2:10" s="692" customFormat="1" ht="18.75" x14ac:dyDescent="0.25">
      <c r="B261" s="1113" t="s">
        <v>959</v>
      </c>
      <c r="C261" s="1114" t="s">
        <v>495</v>
      </c>
      <c r="D261" s="1222" t="s">
        <v>979</v>
      </c>
      <c r="E261" s="760">
        <v>0</v>
      </c>
      <c r="F261" s="639" t="s">
        <v>400</v>
      </c>
      <c r="G261" s="739"/>
      <c r="H261" s="34" t="s">
        <v>435</v>
      </c>
      <c r="I261" s="1101" t="s">
        <v>353</v>
      </c>
      <c r="J261" s="910"/>
    </row>
    <row r="262" spans="2:10" s="692" customFormat="1" ht="18.75" x14ac:dyDescent="0.25">
      <c r="B262" s="767" t="s">
        <v>980</v>
      </c>
      <c r="C262" s="768" t="s">
        <v>495</v>
      </c>
      <c r="D262" s="816" t="s">
        <v>496</v>
      </c>
      <c r="E262" s="760">
        <v>0</v>
      </c>
      <c r="F262" s="347">
        <f t="shared" si="2"/>
        <v>0</v>
      </c>
      <c r="G262" s="739"/>
      <c r="H262" s="34" t="s">
        <v>435</v>
      </c>
      <c r="I262" s="1101"/>
      <c r="J262" s="910" t="s">
        <v>353</v>
      </c>
    </row>
    <row r="263" spans="2:10" s="692" customFormat="1" ht="18.75" x14ac:dyDescent="0.25">
      <c r="B263" s="767" t="s">
        <v>981</v>
      </c>
      <c r="C263" s="768" t="s">
        <v>498</v>
      </c>
      <c r="D263" s="816" t="s">
        <v>982</v>
      </c>
      <c r="E263" s="760">
        <v>0</v>
      </c>
      <c r="F263" s="347">
        <f t="shared" si="2"/>
        <v>0</v>
      </c>
      <c r="G263" s="739"/>
      <c r="H263" s="34"/>
      <c r="I263" s="1101"/>
      <c r="J263" s="910"/>
    </row>
    <row r="264" spans="2:10" s="692" customFormat="1" ht="18.75" x14ac:dyDescent="0.25">
      <c r="B264" s="767" t="s">
        <v>983</v>
      </c>
      <c r="C264" s="768" t="s">
        <v>498</v>
      </c>
      <c r="D264" s="816" t="s">
        <v>501</v>
      </c>
      <c r="E264" s="760">
        <v>0</v>
      </c>
      <c r="F264" s="347">
        <f t="shared" si="2"/>
        <v>0</v>
      </c>
      <c r="G264" s="739"/>
      <c r="H264" s="34" t="s">
        <v>435</v>
      </c>
      <c r="I264" s="1101"/>
      <c r="J264" s="910" t="s">
        <v>353</v>
      </c>
    </row>
    <row r="265" spans="2:10" s="692" customFormat="1" ht="18.75" x14ac:dyDescent="0.3">
      <c r="B265" s="1081" t="s">
        <v>984</v>
      </c>
      <c r="C265" s="1082" t="s">
        <v>503</v>
      </c>
      <c r="D265" s="1094" t="s">
        <v>259</v>
      </c>
      <c r="E265" s="760" t="s">
        <v>399</v>
      </c>
      <c r="F265" s="639" t="s">
        <v>400</v>
      </c>
      <c r="G265" s="739"/>
      <c r="H265" s="34" t="s">
        <v>435</v>
      </c>
      <c r="I265" s="1101" t="s">
        <v>353</v>
      </c>
      <c r="J265" s="910"/>
    </row>
    <row r="266" spans="2:10" s="692" customFormat="1" ht="18.75" x14ac:dyDescent="0.25">
      <c r="B266" s="767" t="s">
        <v>985</v>
      </c>
      <c r="C266" s="768" t="s">
        <v>505</v>
      </c>
      <c r="D266" s="902" t="s">
        <v>506</v>
      </c>
      <c r="E266" s="760" t="s">
        <v>399</v>
      </c>
      <c r="F266" s="639" t="s">
        <v>400</v>
      </c>
      <c r="G266" s="739"/>
      <c r="H266" s="34" t="s">
        <v>435</v>
      </c>
      <c r="I266" s="1101"/>
      <c r="J266" s="910" t="s">
        <v>353</v>
      </c>
    </row>
    <row r="267" spans="2:10" s="692" customFormat="1" ht="18.75" x14ac:dyDescent="0.3">
      <c r="B267" s="1081" t="s">
        <v>986</v>
      </c>
      <c r="C267" s="1082" t="s">
        <v>508</v>
      </c>
      <c r="D267" s="1094" t="s">
        <v>509</v>
      </c>
      <c r="E267" s="760" t="s">
        <v>399</v>
      </c>
      <c r="F267" s="639" t="s">
        <v>400</v>
      </c>
      <c r="G267" s="739"/>
      <c r="H267" s="34" t="s">
        <v>435</v>
      </c>
      <c r="I267" s="1101" t="s">
        <v>353</v>
      </c>
      <c r="J267" s="910"/>
    </row>
    <row r="268" spans="2:10" s="692" customFormat="1" ht="18.75" x14ac:dyDescent="0.3">
      <c r="B268" s="767" t="s">
        <v>987</v>
      </c>
      <c r="C268" s="768" t="s">
        <v>511</v>
      </c>
      <c r="D268" s="905" t="s">
        <v>988</v>
      </c>
      <c r="E268" s="760" t="s">
        <v>399</v>
      </c>
      <c r="F268" s="639" t="s">
        <v>400</v>
      </c>
      <c r="G268" s="739"/>
      <c r="H268" s="34"/>
      <c r="I268" s="1101"/>
      <c r="J268" s="910"/>
    </row>
    <row r="269" spans="2:10" s="692" customFormat="1" ht="18.75" x14ac:dyDescent="0.3">
      <c r="B269" s="767" t="s">
        <v>989</v>
      </c>
      <c r="C269" s="768" t="s">
        <v>511</v>
      </c>
      <c r="D269" s="906" t="s">
        <v>514</v>
      </c>
      <c r="E269" s="760">
        <v>0</v>
      </c>
      <c r="F269" s="347" t="s">
        <v>515</v>
      </c>
      <c r="G269" s="739"/>
      <c r="H269" s="34" t="s">
        <v>435</v>
      </c>
      <c r="I269" s="1101" t="s">
        <v>353</v>
      </c>
      <c r="J269" s="910"/>
    </row>
    <row r="270" spans="2:10" s="692" customFormat="1" ht="18.75" x14ac:dyDescent="0.3">
      <c r="B270" s="767" t="s">
        <v>990</v>
      </c>
      <c r="C270" s="768" t="s">
        <v>517</v>
      </c>
      <c r="D270" s="906" t="s">
        <v>518</v>
      </c>
      <c r="E270" s="760">
        <v>0</v>
      </c>
      <c r="F270" s="653"/>
      <c r="G270" s="739"/>
      <c r="H270" s="34" t="s">
        <v>435</v>
      </c>
      <c r="I270" s="1101" t="s">
        <v>353</v>
      </c>
      <c r="J270" s="910"/>
    </row>
    <row r="271" spans="2:10" s="692" customFormat="1" ht="18.75" x14ac:dyDescent="0.3">
      <c r="B271" s="767" t="s">
        <v>991</v>
      </c>
      <c r="C271" s="768" t="s">
        <v>517</v>
      </c>
      <c r="D271" s="906" t="s">
        <v>520</v>
      </c>
      <c r="E271" s="760">
        <v>0</v>
      </c>
      <c r="F271" s="653"/>
      <c r="G271" s="739"/>
      <c r="H271" s="34"/>
      <c r="I271" s="1101"/>
      <c r="J271" s="910"/>
    </row>
    <row r="272" spans="2:10" s="692" customFormat="1" ht="18.75" x14ac:dyDescent="0.25">
      <c r="B272" s="1081" t="s">
        <v>992</v>
      </c>
      <c r="C272" s="1082" t="s">
        <v>993</v>
      </c>
      <c r="D272" s="1088" t="s">
        <v>994</v>
      </c>
      <c r="E272" s="760">
        <v>0</v>
      </c>
      <c r="F272" s="345" t="s">
        <v>462</v>
      </c>
      <c r="G272" s="739"/>
      <c r="H272" s="193"/>
      <c r="I272" s="1101" t="s">
        <v>353</v>
      </c>
      <c r="J272" s="910"/>
    </row>
    <row r="273" spans="2:10" s="692" customFormat="1" ht="18.75" x14ac:dyDescent="0.3">
      <c r="B273" s="1081" t="s">
        <v>995</v>
      </c>
      <c r="C273" s="1082" t="s">
        <v>522</v>
      </c>
      <c r="D273" s="1094" t="s">
        <v>523</v>
      </c>
      <c r="E273" s="760" t="s">
        <v>399</v>
      </c>
      <c r="F273" s="639" t="s">
        <v>400</v>
      </c>
      <c r="G273" s="739"/>
      <c r="H273" s="34" t="s">
        <v>435</v>
      </c>
      <c r="I273" s="1101" t="s">
        <v>353</v>
      </c>
      <c r="J273" s="910"/>
    </row>
    <row r="274" spans="2:10" s="692" customFormat="1" ht="18.75" x14ac:dyDescent="0.3">
      <c r="B274" s="767" t="s">
        <v>996</v>
      </c>
      <c r="C274" s="768" t="s">
        <v>525</v>
      </c>
      <c r="D274" s="905" t="s">
        <v>526</v>
      </c>
      <c r="E274" s="760" t="s">
        <v>399</v>
      </c>
      <c r="F274" s="639" t="s">
        <v>400</v>
      </c>
      <c r="G274" s="739"/>
      <c r="H274" s="34" t="s">
        <v>435</v>
      </c>
      <c r="I274" s="1101" t="s">
        <v>353</v>
      </c>
      <c r="J274" s="910"/>
    </row>
    <row r="275" spans="2:10" s="692" customFormat="1" ht="18.75" x14ac:dyDescent="0.3">
      <c r="B275" s="767" t="s">
        <v>997</v>
      </c>
      <c r="C275" s="768" t="s">
        <v>528</v>
      </c>
      <c r="D275" s="905" t="s">
        <v>529</v>
      </c>
      <c r="E275" s="760" t="s">
        <v>399</v>
      </c>
      <c r="F275" s="639" t="s">
        <v>400</v>
      </c>
      <c r="G275" s="739"/>
      <c r="H275" s="34" t="s">
        <v>435</v>
      </c>
      <c r="I275" s="1101" t="s">
        <v>353</v>
      </c>
      <c r="J275" s="910"/>
    </row>
    <row r="276" spans="2:10" s="692" customFormat="1" ht="18.75" x14ac:dyDescent="0.3">
      <c r="B276" s="1113" t="s">
        <v>998</v>
      </c>
      <c r="C276" s="1114" t="s">
        <v>531</v>
      </c>
      <c r="D276" s="1156" t="s">
        <v>999</v>
      </c>
      <c r="E276" s="760">
        <v>0</v>
      </c>
      <c r="F276" s="347" t="s">
        <v>367</v>
      </c>
      <c r="G276" s="739"/>
      <c r="H276" s="1106"/>
      <c r="I276" s="1101" t="s">
        <v>353</v>
      </c>
      <c r="J276" s="910"/>
    </row>
    <row r="277" spans="2:10" s="692" customFormat="1" ht="18.75" x14ac:dyDescent="0.3">
      <c r="B277" s="1113" t="s">
        <v>1000</v>
      </c>
      <c r="C277" s="1114" t="s">
        <v>531</v>
      </c>
      <c r="D277" s="1156" t="s">
        <v>1001</v>
      </c>
      <c r="E277" s="760">
        <v>0</v>
      </c>
      <c r="F277" s="347" t="s">
        <v>367</v>
      </c>
      <c r="G277" s="739"/>
      <c r="H277" s="41"/>
      <c r="I277" s="1101" t="s">
        <v>353</v>
      </c>
      <c r="J277" s="910"/>
    </row>
    <row r="278" spans="2:10" s="692" customFormat="1" ht="18.75" x14ac:dyDescent="0.3">
      <c r="B278" s="1113" t="s">
        <v>1002</v>
      </c>
      <c r="C278" s="1114" t="s">
        <v>531</v>
      </c>
      <c r="D278" s="1156" t="s">
        <v>1003</v>
      </c>
      <c r="E278" s="760">
        <v>0</v>
      </c>
      <c r="F278" s="347" t="s">
        <v>367</v>
      </c>
      <c r="G278" s="739"/>
      <c r="H278" s="41"/>
      <c r="I278" s="1101" t="s">
        <v>353</v>
      </c>
      <c r="J278" s="910"/>
    </row>
    <row r="279" spans="2:10" s="692" customFormat="1" ht="18.75" x14ac:dyDescent="0.25">
      <c r="B279" s="1081" t="s">
        <v>1004</v>
      </c>
      <c r="C279" s="1082" t="s">
        <v>554</v>
      </c>
      <c r="D279" s="1089" t="s">
        <v>555</v>
      </c>
      <c r="E279" s="760">
        <v>0</v>
      </c>
      <c r="F279" s="347" t="s">
        <v>210</v>
      </c>
      <c r="G279" s="739"/>
      <c r="H279" s="34"/>
      <c r="I279" s="1101" t="s">
        <v>353</v>
      </c>
      <c r="J279" s="910"/>
    </row>
    <row r="280" spans="2:10" s="692" customFormat="1" ht="18.75" x14ac:dyDescent="0.25">
      <c r="B280" s="1081" t="s">
        <v>1005</v>
      </c>
      <c r="C280" s="1082" t="s">
        <v>554</v>
      </c>
      <c r="D280" s="1089" t="s">
        <v>557</v>
      </c>
      <c r="E280" s="760">
        <v>0</v>
      </c>
      <c r="F280" s="347" t="s">
        <v>210</v>
      </c>
      <c r="G280" s="739"/>
      <c r="H280" s="34"/>
      <c r="I280" s="1101" t="s">
        <v>353</v>
      </c>
      <c r="J280" s="910"/>
    </row>
    <row r="281" spans="2:10" s="692" customFormat="1" ht="18.75" x14ac:dyDescent="0.25">
      <c r="B281" s="1081" t="s">
        <v>1006</v>
      </c>
      <c r="C281" s="1082" t="s">
        <v>554</v>
      </c>
      <c r="D281" s="1089" t="s">
        <v>559</v>
      </c>
      <c r="E281" s="760">
        <v>0</v>
      </c>
      <c r="F281" s="345" t="s">
        <v>210</v>
      </c>
      <c r="G281" s="739"/>
      <c r="H281" s="193"/>
      <c r="I281" s="1101" t="s">
        <v>353</v>
      </c>
      <c r="J281" s="910"/>
    </row>
    <row r="282" spans="2:10" s="692" customFormat="1" ht="40.5" x14ac:dyDescent="0.25">
      <c r="B282" s="1081" t="s">
        <v>1007</v>
      </c>
      <c r="C282" s="1082" t="s">
        <v>561</v>
      </c>
      <c r="D282" s="1089" t="s">
        <v>1008</v>
      </c>
      <c r="E282" s="760">
        <v>0</v>
      </c>
      <c r="F282" s="345" t="s">
        <v>210</v>
      </c>
      <c r="G282" s="739"/>
      <c r="H282" s="255" t="s">
        <v>1009</v>
      </c>
      <c r="I282" s="1101" t="s">
        <v>353</v>
      </c>
      <c r="J282" s="910"/>
    </row>
    <row r="283" spans="2:10" s="692" customFormat="1" ht="18.75" x14ac:dyDescent="0.25">
      <c r="B283" s="1081" t="s">
        <v>1010</v>
      </c>
      <c r="C283" s="1082" t="s">
        <v>561</v>
      </c>
      <c r="D283" s="1089" t="s">
        <v>1011</v>
      </c>
      <c r="E283" s="760">
        <v>0</v>
      </c>
      <c r="F283" s="347" t="s">
        <v>210</v>
      </c>
      <c r="G283" s="739"/>
      <c r="H283" s="193" t="s">
        <v>566</v>
      </c>
      <c r="I283" s="1101" t="s">
        <v>353</v>
      </c>
      <c r="J283" s="910"/>
    </row>
    <row r="284" spans="2:10" s="692" customFormat="1" ht="18.75" x14ac:dyDescent="0.25">
      <c r="B284" s="1081" t="s">
        <v>1012</v>
      </c>
      <c r="C284" s="1082" t="s">
        <v>1013</v>
      </c>
      <c r="D284" s="1088" t="s">
        <v>1014</v>
      </c>
      <c r="E284" s="760">
        <v>0</v>
      </c>
      <c r="F284" s="345" t="s">
        <v>462</v>
      </c>
      <c r="G284" s="739"/>
      <c r="H284" s="193"/>
      <c r="I284" s="1101" t="s">
        <v>353</v>
      </c>
      <c r="J284" s="910"/>
    </row>
    <row r="285" spans="2:10" s="692" customFormat="1" ht="18.75" x14ac:dyDescent="0.25">
      <c r="B285" s="1081" t="s">
        <v>1015</v>
      </c>
      <c r="C285" s="1082" t="s">
        <v>1013</v>
      </c>
      <c r="D285" s="1088" t="s">
        <v>1016</v>
      </c>
      <c r="E285" s="760">
        <v>0</v>
      </c>
      <c r="F285" s="345" t="s">
        <v>835</v>
      </c>
      <c r="G285" s="739"/>
      <c r="H285" s="193"/>
      <c r="I285" s="1101" t="s">
        <v>353</v>
      </c>
      <c r="J285" s="910"/>
    </row>
    <row r="286" spans="2:10" s="692" customFormat="1" ht="18.75" x14ac:dyDescent="0.25">
      <c r="B286" s="767" t="s">
        <v>1017</v>
      </c>
      <c r="C286" s="768" t="s">
        <v>1018</v>
      </c>
      <c r="D286" s="774" t="s">
        <v>1019</v>
      </c>
      <c r="E286" s="760">
        <v>0</v>
      </c>
      <c r="F286" s="653" t="s">
        <v>210</v>
      </c>
      <c r="G286" s="739"/>
      <c r="H286" s="34" t="s">
        <v>1020</v>
      </c>
      <c r="I286" s="1101" t="s">
        <v>353</v>
      </c>
      <c r="J286" s="910"/>
    </row>
    <row r="287" spans="2:10" s="692" customFormat="1" ht="18.75" x14ac:dyDescent="0.25">
      <c r="B287" s="1081" t="s">
        <v>1021</v>
      </c>
      <c r="C287" s="1082" t="s">
        <v>1018</v>
      </c>
      <c r="D287" s="1089" t="s">
        <v>1022</v>
      </c>
      <c r="E287" s="760">
        <v>0</v>
      </c>
      <c r="F287" s="347" t="s">
        <v>367</v>
      </c>
      <c r="G287" s="739"/>
      <c r="H287" s="34"/>
      <c r="I287" s="1101" t="s">
        <v>353</v>
      </c>
      <c r="J287" s="709"/>
    </row>
    <row r="288" spans="2:10" s="692" customFormat="1" ht="18.75" x14ac:dyDescent="0.25">
      <c r="B288" s="1081" t="s">
        <v>1023</v>
      </c>
      <c r="C288" s="1082" t="s">
        <v>1018</v>
      </c>
      <c r="D288" s="1089" t="s">
        <v>1024</v>
      </c>
      <c r="E288" s="760">
        <v>0</v>
      </c>
      <c r="F288" s="347" t="s">
        <v>1025</v>
      </c>
      <c r="G288" s="739"/>
      <c r="H288" s="34"/>
      <c r="I288" s="1101" t="s">
        <v>353</v>
      </c>
      <c r="J288" s="709"/>
    </row>
    <row r="289" spans="2:10" s="692" customFormat="1" ht="18.75" x14ac:dyDescent="0.25">
      <c r="B289" s="1081" t="s">
        <v>1026</v>
      </c>
      <c r="C289" s="1082" t="s">
        <v>1018</v>
      </c>
      <c r="D289" s="1089" t="s">
        <v>1027</v>
      </c>
      <c r="E289" s="760">
        <v>0</v>
      </c>
      <c r="F289" s="347" t="s">
        <v>210</v>
      </c>
      <c r="G289" s="739"/>
      <c r="H289" s="34" t="s">
        <v>1020</v>
      </c>
      <c r="I289" s="1101" t="s">
        <v>353</v>
      </c>
      <c r="J289" s="709"/>
    </row>
    <row r="290" spans="2:10" s="692" customFormat="1" ht="18.75" x14ac:dyDescent="0.25">
      <c r="B290" s="1081" t="s">
        <v>1028</v>
      </c>
      <c r="C290" s="1082" t="s">
        <v>1018</v>
      </c>
      <c r="D290" s="1089" t="s">
        <v>1029</v>
      </c>
      <c r="E290" s="760" t="s">
        <v>399</v>
      </c>
      <c r="F290" s="347" t="s">
        <v>400</v>
      </c>
      <c r="G290" s="739"/>
      <c r="H290" s="34" t="s">
        <v>1030</v>
      </c>
      <c r="I290" s="1101" t="s">
        <v>353</v>
      </c>
      <c r="J290" s="709"/>
    </row>
    <row r="291" spans="2:10" s="692" customFormat="1" ht="94.5" x14ac:dyDescent="0.25">
      <c r="B291" s="1258" t="s">
        <v>1031</v>
      </c>
      <c r="C291" s="1114">
        <v>3.2</v>
      </c>
      <c r="D291" s="1219" t="s">
        <v>621</v>
      </c>
      <c r="E291" s="760">
        <v>0</v>
      </c>
      <c r="F291" s="345" t="s">
        <v>622</v>
      </c>
      <c r="G291" s="739"/>
      <c r="H291" s="255" t="s">
        <v>623</v>
      </c>
      <c r="I291" s="1101" t="s">
        <v>353</v>
      </c>
      <c r="J291" s="709"/>
    </row>
    <row r="292" spans="2:10" s="692" customFormat="1" ht="40.5" x14ac:dyDescent="0.25">
      <c r="B292" s="1259" t="s">
        <v>1032</v>
      </c>
      <c r="C292" s="1082">
        <v>3.2</v>
      </c>
      <c r="D292" s="1088" t="s">
        <v>1033</v>
      </c>
      <c r="E292" s="760">
        <v>0</v>
      </c>
      <c r="F292" s="345" t="s">
        <v>1034</v>
      </c>
      <c r="G292" s="739"/>
      <c r="H292" s="255" t="s">
        <v>1035</v>
      </c>
      <c r="I292" s="1101" t="s">
        <v>353</v>
      </c>
      <c r="J292" s="709"/>
    </row>
    <row r="293" spans="2:10" s="692" customFormat="1" ht="18.75" x14ac:dyDescent="0.25">
      <c r="B293" s="767" t="s">
        <v>1036</v>
      </c>
      <c r="C293" s="768" t="s">
        <v>658</v>
      </c>
      <c r="D293" s="886" t="s">
        <v>659</v>
      </c>
      <c r="E293" s="760" t="s">
        <v>399</v>
      </c>
      <c r="F293" s="639" t="s">
        <v>400</v>
      </c>
      <c r="G293" s="739"/>
      <c r="H293" s="193"/>
      <c r="I293" s="1101" t="s">
        <v>353</v>
      </c>
      <c r="J293" s="709"/>
    </row>
    <row r="294" spans="2:10" s="692" customFormat="1" ht="18.75" x14ac:dyDescent="0.25">
      <c r="B294" s="1081" t="s">
        <v>1037</v>
      </c>
      <c r="C294" s="1082" t="s">
        <v>1038</v>
      </c>
      <c r="D294" s="1089" t="s">
        <v>1039</v>
      </c>
      <c r="E294" s="760" t="s">
        <v>399</v>
      </c>
      <c r="F294" s="489" t="s">
        <v>400</v>
      </c>
      <c r="G294" s="739"/>
      <c r="H294" s="709"/>
      <c r="I294" s="1101"/>
      <c r="J294" s="910"/>
    </row>
    <row r="295" spans="2:10" s="692" customFormat="1" ht="18.75" x14ac:dyDescent="0.25">
      <c r="B295" s="1081" t="s">
        <v>1040</v>
      </c>
      <c r="C295" s="1082" t="s">
        <v>1041</v>
      </c>
      <c r="D295" s="1098" t="s">
        <v>1042</v>
      </c>
      <c r="E295" s="760">
        <v>0</v>
      </c>
      <c r="F295" s="351" t="s">
        <v>1043</v>
      </c>
      <c r="G295" s="739"/>
      <c r="H295" s="1107"/>
      <c r="I295" s="1101" t="s">
        <v>353</v>
      </c>
      <c r="J295" s="709"/>
    </row>
    <row r="296" spans="2:10" s="692" customFormat="1" ht="18.75" x14ac:dyDescent="0.25">
      <c r="B296" s="1081" t="s">
        <v>1044</v>
      </c>
      <c r="C296" s="1082" t="s">
        <v>1041</v>
      </c>
      <c r="D296" s="1091" t="s">
        <v>1045</v>
      </c>
      <c r="E296" s="760">
        <v>0</v>
      </c>
      <c r="F296" s="349" t="s">
        <v>367</v>
      </c>
      <c r="G296" s="739"/>
      <c r="H296" s="261"/>
      <c r="I296" s="1101" t="s">
        <v>353</v>
      </c>
      <c r="J296" s="709"/>
    </row>
    <row r="297" spans="2:10" s="692" customFormat="1" ht="18.75" x14ac:dyDescent="0.25">
      <c r="B297" s="1081" t="s">
        <v>1046</v>
      </c>
      <c r="C297" s="1082" t="s">
        <v>1041</v>
      </c>
      <c r="D297" s="1091" t="s">
        <v>1047</v>
      </c>
      <c r="E297" s="760">
        <v>0</v>
      </c>
      <c r="F297" s="349" t="s">
        <v>1048</v>
      </c>
      <c r="G297" s="739"/>
      <c r="H297" s="1108" t="s">
        <v>1049</v>
      </c>
      <c r="I297" s="1101" t="s">
        <v>353</v>
      </c>
      <c r="J297" s="709"/>
    </row>
    <row r="298" spans="2:10" s="692" customFormat="1" ht="30" customHeight="1" x14ac:dyDescent="0.25">
      <c r="B298" s="1081" t="s">
        <v>1050</v>
      </c>
      <c r="C298" s="1082" t="s">
        <v>1041</v>
      </c>
      <c r="D298" s="1091" t="s">
        <v>1051</v>
      </c>
      <c r="E298" s="760">
        <v>0</v>
      </c>
      <c r="F298" s="349" t="s">
        <v>1052</v>
      </c>
      <c r="G298" s="739"/>
      <c r="H298" s="1108"/>
      <c r="I298" s="1101" t="s">
        <v>353</v>
      </c>
      <c r="J298" s="709"/>
    </row>
    <row r="299" spans="2:10" s="692" customFormat="1" ht="26.1" customHeight="1" x14ac:dyDescent="0.25">
      <c r="B299" s="1081" t="s">
        <v>1053</v>
      </c>
      <c r="C299" s="1082" t="s">
        <v>1041</v>
      </c>
      <c r="D299" s="1091" t="s">
        <v>1054</v>
      </c>
      <c r="E299" s="760">
        <v>0</v>
      </c>
      <c r="F299" s="349" t="s">
        <v>1055</v>
      </c>
      <c r="G299" s="739"/>
      <c r="H299" s="1108"/>
      <c r="I299" s="1101" t="s">
        <v>353</v>
      </c>
      <c r="J299" s="709"/>
    </row>
    <row r="300" spans="2:10" s="692" customFormat="1" ht="18.75" x14ac:dyDescent="0.25">
      <c r="B300" s="1081" t="s">
        <v>1056</v>
      </c>
      <c r="C300" s="1082" t="s">
        <v>1041</v>
      </c>
      <c r="D300" s="1088" t="s">
        <v>1057</v>
      </c>
      <c r="E300" s="760">
        <v>0</v>
      </c>
      <c r="F300" s="349" t="s">
        <v>1058</v>
      </c>
      <c r="G300" s="739"/>
      <c r="H300" s="255"/>
      <c r="I300" s="1101" t="s">
        <v>353</v>
      </c>
      <c r="J300" s="709"/>
    </row>
    <row r="301" spans="2:10" s="692" customFormat="1" ht="18.75" x14ac:dyDescent="0.25">
      <c r="B301" s="1081" t="s">
        <v>1059</v>
      </c>
      <c r="C301" s="1082" t="s">
        <v>1041</v>
      </c>
      <c r="D301" s="1084" t="s">
        <v>1060</v>
      </c>
      <c r="E301" s="760">
        <v>0</v>
      </c>
      <c r="F301" s="349" t="s">
        <v>1061</v>
      </c>
      <c r="G301" s="739"/>
      <c r="H301" s="1109" t="s">
        <v>1062</v>
      </c>
      <c r="I301" s="1101" t="s">
        <v>353</v>
      </c>
      <c r="J301" s="709"/>
    </row>
    <row r="302" spans="2:10" s="692" customFormat="1" ht="18.75" x14ac:dyDescent="0.3">
      <c r="B302" s="1081" t="s">
        <v>1063</v>
      </c>
      <c r="C302" s="1082" t="s">
        <v>1041</v>
      </c>
      <c r="D302" s="1083" t="s">
        <v>1064</v>
      </c>
      <c r="E302" s="760">
        <v>0</v>
      </c>
      <c r="F302" s="656" t="s">
        <v>650</v>
      </c>
      <c r="G302" s="739"/>
      <c r="H302" s="193" t="s">
        <v>1065</v>
      </c>
      <c r="I302" s="1101" t="s">
        <v>353</v>
      </c>
      <c r="J302" s="709"/>
    </row>
    <row r="303" spans="2:10" s="692" customFormat="1" ht="18.75" x14ac:dyDescent="0.25">
      <c r="B303" s="1081" t="s">
        <v>1066</v>
      </c>
      <c r="C303" s="1082" t="s">
        <v>1041</v>
      </c>
      <c r="D303" s="1091" t="s">
        <v>1067</v>
      </c>
      <c r="E303" s="760">
        <v>0</v>
      </c>
      <c r="F303" s="349" t="s">
        <v>667</v>
      </c>
      <c r="G303" s="739"/>
      <c r="H303" s="34" t="s">
        <v>1068</v>
      </c>
      <c r="I303" s="1101" t="s">
        <v>353</v>
      </c>
      <c r="J303" s="709"/>
    </row>
    <row r="304" spans="2:10" s="692" customFormat="1" ht="18.75" x14ac:dyDescent="0.25">
      <c r="B304" s="1081" t="s">
        <v>1069</v>
      </c>
      <c r="C304" s="1082" t="s">
        <v>1041</v>
      </c>
      <c r="D304" s="1091" t="s">
        <v>1070</v>
      </c>
      <c r="E304" s="760">
        <v>0</v>
      </c>
      <c r="F304" s="349" t="s">
        <v>1071</v>
      </c>
      <c r="G304" s="739"/>
      <c r="H304" s="261"/>
      <c r="I304" s="1101" t="s">
        <v>353</v>
      </c>
      <c r="J304" s="709"/>
    </row>
    <row r="305" spans="2:10" s="692" customFormat="1" ht="15" customHeight="1" x14ac:dyDescent="0.25">
      <c r="B305" s="1081" t="s">
        <v>1072</v>
      </c>
      <c r="C305" s="1082" t="s">
        <v>1041</v>
      </c>
      <c r="D305" s="1088" t="s">
        <v>1073</v>
      </c>
      <c r="E305" s="760">
        <v>0</v>
      </c>
      <c r="F305" s="349" t="s">
        <v>1071</v>
      </c>
      <c r="G305" s="911"/>
      <c r="H305" s="261"/>
      <c r="I305" s="1101"/>
      <c r="J305" s="709"/>
    </row>
    <row r="306" spans="2:10" s="692" customFormat="1" ht="15" customHeight="1" x14ac:dyDescent="0.25">
      <c r="B306" s="1081" t="s">
        <v>1074</v>
      </c>
      <c r="C306" s="1082" t="s">
        <v>1041</v>
      </c>
      <c r="D306" s="1088" t="s">
        <v>1075</v>
      </c>
      <c r="E306" s="760">
        <v>0</v>
      </c>
      <c r="F306" s="349" t="s">
        <v>1071</v>
      </c>
      <c r="G306" s="911"/>
      <c r="H306" s="261"/>
      <c r="I306" s="1101"/>
      <c r="J306" s="709"/>
    </row>
    <row r="307" spans="2:10" s="692" customFormat="1" ht="18.75" x14ac:dyDescent="0.25">
      <c r="B307" s="1081" t="s">
        <v>1076</v>
      </c>
      <c r="C307" s="1082" t="s">
        <v>1041</v>
      </c>
      <c r="D307" s="1088" t="s">
        <v>1077</v>
      </c>
      <c r="E307" s="760">
        <v>0</v>
      </c>
      <c r="F307" s="349" t="s">
        <v>667</v>
      </c>
      <c r="G307" s="911"/>
      <c r="H307" s="261"/>
      <c r="I307" s="1101"/>
      <c r="J307" s="709"/>
    </row>
    <row r="308" spans="2:10" s="692" customFormat="1" ht="18.75" x14ac:dyDescent="0.25">
      <c r="B308" s="1081" t="s">
        <v>1078</v>
      </c>
      <c r="C308" s="1082" t="s">
        <v>1041</v>
      </c>
      <c r="D308" s="1088" t="s">
        <v>1079</v>
      </c>
      <c r="E308" s="760">
        <v>0</v>
      </c>
      <c r="F308" s="349" t="s">
        <v>667</v>
      </c>
      <c r="G308" s="911"/>
      <c r="H308" s="261"/>
      <c r="I308" s="1101"/>
      <c r="J308" s="709"/>
    </row>
    <row r="309" spans="2:10" s="692" customFormat="1" ht="18.75" x14ac:dyDescent="0.25">
      <c r="B309" s="1081" t="s">
        <v>1080</v>
      </c>
      <c r="C309" s="1082" t="s">
        <v>1041</v>
      </c>
      <c r="D309" s="1088" t="s">
        <v>1081</v>
      </c>
      <c r="E309" s="760">
        <v>0</v>
      </c>
      <c r="F309" s="345" t="s">
        <v>667</v>
      </c>
      <c r="G309" s="911"/>
      <c r="H309" s="261"/>
      <c r="I309" s="1101"/>
      <c r="J309" s="709"/>
    </row>
    <row r="310" spans="2:10" s="692" customFormat="1" ht="18.75" x14ac:dyDescent="0.25">
      <c r="B310" s="1081" t="s">
        <v>1082</v>
      </c>
      <c r="C310" s="1082" t="s">
        <v>1041</v>
      </c>
      <c r="D310" s="1088" t="s">
        <v>1083</v>
      </c>
      <c r="E310" s="760">
        <v>0</v>
      </c>
      <c r="F310" s="345" t="s">
        <v>667</v>
      </c>
      <c r="G310" s="911"/>
      <c r="H310" s="261"/>
      <c r="I310" s="1101"/>
      <c r="J310" s="709"/>
    </row>
    <row r="311" spans="2:10" s="692" customFormat="1" ht="18.75" x14ac:dyDescent="0.25">
      <c r="B311" s="1081" t="s">
        <v>1084</v>
      </c>
      <c r="C311" s="1082" t="s">
        <v>1041</v>
      </c>
      <c r="D311" s="1088" t="s">
        <v>1085</v>
      </c>
      <c r="E311" s="760">
        <v>0</v>
      </c>
      <c r="F311" s="345" t="s">
        <v>667</v>
      </c>
      <c r="G311" s="911"/>
      <c r="H311" s="261"/>
      <c r="I311" s="1101"/>
      <c r="J311" s="709"/>
    </row>
    <row r="312" spans="2:10" s="692" customFormat="1" ht="18.75" x14ac:dyDescent="0.25">
      <c r="B312" s="1081" t="s">
        <v>1086</v>
      </c>
      <c r="C312" s="1082" t="s">
        <v>1041</v>
      </c>
      <c r="D312" s="1088" t="s">
        <v>1087</v>
      </c>
      <c r="E312" s="760">
        <v>0</v>
      </c>
      <c r="F312" s="345" t="s">
        <v>667</v>
      </c>
      <c r="G312" s="911"/>
      <c r="H312" s="261"/>
      <c r="I312" s="1101"/>
      <c r="J312" s="709"/>
    </row>
    <row r="313" spans="2:10" s="692" customFormat="1" ht="18.75" x14ac:dyDescent="0.25">
      <c r="B313" s="1081" t="s">
        <v>1088</v>
      </c>
      <c r="C313" s="1082" t="s">
        <v>1041</v>
      </c>
      <c r="D313" s="1088" t="s">
        <v>1089</v>
      </c>
      <c r="E313" s="760">
        <v>0</v>
      </c>
      <c r="F313" s="345" t="s">
        <v>667</v>
      </c>
      <c r="G313" s="911"/>
      <c r="H313" s="261"/>
      <c r="I313" s="1101"/>
      <c r="J313" s="709"/>
    </row>
    <row r="314" spans="2:10" s="692" customFormat="1" ht="18.75" x14ac:dyDescent="0.25">
      <c r="B314" s="1081" t="s">
        <v>1090</v>
      </c>
      <c r="C314" s="1082" t="s">
        <v>1041</v>
      </c>
      <c r="D314" s="1088" t="s">
        <v>1091</v>
      </c>
      <c r="E314" s="760">
        <v>0</v>
      </c>
      <c r="F314" s="345" t="s">
        <v>1092</v>
      </c>
      <c r="G314" s="911"/>
      <c r="H314" s="261"/>
      <c r="I314" s="1101"/>
      <c r="J314" s="709"/>
    </row>
    <row r="315" spans="2:10" s="692" customFormat="1" ht="18.75" x14ac:dyDescent="0.25">
      <c r="B315" s="1081" t="s">
        <v>1093</v>
      </c>
      <c r="C315" s="1082" t="s">
        <v>1041</v>
      </c>
      <c r="D315" s="1088" t="s">
        <v>1094</v>
      </c>
      <c r="E315" s="760">
        <v>0</v>
      </c>
      <c r="F315" s="345" t="s">
        <v>367</v>
      </c>
      <c r="G315" s="911"/>
      <c r="H315" s="261"/>
      <c r="I315" s="1101"/>
      <c r="J315" s="709"/>
    </row>
    <row r="316" spans="2:10" s="692" customFormat="1" ht="18.75" x14ac:dyDescent="0.25">
      <c r="B316" s="1081" t="s">
        <v>1095</v>
      </c>
      <c r="C316" s="1082" t="s">
        <v>1041</v>
      </c>
      <c r="D316" s="1088" t="s">
        <v>1096</v>
      </c>
      <c r="E316" s="760">
        <v>0</v>
      </c>
      <c r="F316" s="345" t="s">
        <v>210</v>
      </c>
      <c r="G316" s="911"/>
      <c r="H316" s="261"/>
      <c r="I316" s="1101"/>
      <c r="J316" s="709"/>
    </row>
    <row r="317" spans="2:10" s="692" customFormat="1" ht="18.75" x14ac:dyDescent="0.25">
      <c r="B317" s="1081" t="s">
        <v>1097</v>
      </c>
      <c r="C317" s="1082" t="s">
        <v>1041</v>
      </c>
      <c r="D317" s="1088" t="s">
        <v>1098</v>
      </c>
      <c r="E317" s="760">
        <v>0</v>
      </c>
      <c r="F317" s="345" t="s">
        <v>210</v>
      </c>
      <c r="G317" s="911"/>
      <c r="H317" s="261"/>
      <c r="I317" s="1101"/>
      <c r="J317" s="709"/>
    </row>
    <row r="318" spans="2:10" s="692" customFormat="1" ht="18.75" x14ac:dyDescent="0.25">
      <c r="B318" s="1081" t="s">
        <v>1099</v>
      </c>
      <c r="C318" s="1082" t="s">
        <v>1041</v>
      </c>
      <c r="D318" s="1088" t="s">
        <v>1100</v>
      </c>
      <c r="E318" s="760">
        <v>0</v>
      </c>
      <c r="F318" s="345" t="s">
        <v>210</v>
      </c>
      <c r="G318" s="911"/>
      <c r="H318" s="261"/>
      <c r="I318" s="1101"/>
      <c r="J318" s="709"/>
    </row>
    <row r="319" spans="2:10" s="692" customFormat="1" ht="18.75" x14ac:dyDescent="0.25">
      <c r="B319" s="1081" t="s">
        <v>1101</v>
      </c>
      <c r="C319" s="1082" t="s">
        <v>1041</v>
      </c>
      <c r="D319" s="1099" t="s">
        <v>1102</v>
      </c>
      <c r="E319" s="760">
        <v>0</v>
      </c>
      <c r="F319" s="347">
        <f>$E$10</f>
        <v>0</v>
      </c>
      <c r="G319" s="911"/>
      <c r="H319" s="261"/>
      <c r="I319" s="1101"/>
      <c r="J319" s="709"/>
    </row>
    <row r="320" spans="2:10" s="692" customFormat="1" ht="18.75" x14ac:dyDescent="0.25">
      <c r="B320" s="1081" t="s">
        <v>1103</v>
      </c>
      <c r="C320" s="1082" t="s">
        <v>1041</v>
      </c>
      <c r="D320" s="1088" t="s">
        <v>1104</v>
      </c>
      <c r="E320" s="760">
        <v>0</v>
      </c>
      <c r="F320" s="344" t="s">
        <v>865</v>
      </c>
      <c r="G320" s="911"/>
      <c r="H320" s="261"/>
      <c r="I320" s="1101"/>
      <c r="J320" s="709"/>
    </row>
    <row r="321" spans="2:10" s="692" customFormat="1" ht="18.75" x14ac:dyDescent="0.25">
      <c r="B321" s="1081" t="s">
        <v>1105</v>
      </c>
      <c r="C321" s="1082" t="s">
        <v>1041</v>
      </c>
      <c r="D321" s="1099" t="s">
        <v>1106</v>
      </c>
      <c r="E321" s="760">
        <v>0</v>
      </c>
      <c r="F321" s="12" t="str">
        <f>$E$10&amp;"/ tonnes"</f>
        <v>0/ tonnes</v>
      </c>
      <c r="G321" s="911"/>
      <c r="H321" s="261"/>
      <c r="I321" s="1101"/>
      <c r="J321" s="709"/>
    </row>
    <row r="322" spans="2:10" s="692" customFormat="1" ht="18.75" x14ac:dyDescent="0.25">
      <c r="B322" s="1081" t="s">
        <v>1107</v>
      </c>
      <c r="C322" s="1082" t="s">
        <v>1041</v>
      </c>
      <c r="D322" s="1086" t="s">
        <v>1108</v>
      </c>
      <c r="E322" s="760">
        <v>0</v>
      </c>
      <c r="F322" s="347">
        <f>$E$10</f>
        <v>0</v>
      </c>
      <c r="G322" s="911"/>
      <c r="H322" s="261"/>
      <c r="I322" s="1101"/>
      <c r="J322" s="709"/>
    </row>
    <row r="323" spans="2:10" s="692" customFormat="1" ht="18.75" x14ac:dyDescent="0.25">
      <c r="B323" s="1081" t="s">
        <v>1109</v>
      </c>
      <c r="C323" s="1082" t="s">
        <v>1041</v>
      </c>
      <c r="D323" s="1089" t="s">
        <v>1110</v>
      </c>
      <c r="E323" s="760">
        <v>0</v>
      </c>
      <c r="F323" s="347" t="str">
        <f>$E$10&amp;"/ tonnes"</f>
        <v>0/ tonnes</v>
      </c>
      <c r="G323" s="911"/>
      <c r="H323" s="261"/>
      <c r="I323" s="1101"/>
      <c r="J323" s="709"/>
    </row>
    <row r="324" spans="2:10" s="692" customFormat="1" ht="40.5" x14ac:dyDescent="0.25">
      <c r="B324" s="1081" t="s">
        <v>1111</v>
      </c>
      <c r="C324" s="1082" t="s">
        <v>677</v>
      </c>
      <c r="D324" s="1091" t="s">
        <v>678</v>
      </c>
      <c r="E324" s="760">
        <v>0</v>
      </c>
      <c r="F324" s="349" t="s">
        <v>210</v>
      </c>
      <c r="G324" s="911"/>
      <c r="H324" s="32" t="s">
        <v>1112</v>
      </c>
      <c r="I324" s="1101" t="s">
        <v>353</v>
      </c>
      <c r="J324" s="709"/>
    </row>
    <row r="325" spans="2:10" s="692" customFormat="1" ht="40.5" x14ac:dyDescent="0.25">
      <c r="B325" s="1113" t="s">
        <v>1113</v>
      </c>
      <c r="C325" s="1114" t="s">
        <v>135</v>
      </c>
      <c r="D325" s="1220" t="s">
        <v>690</v>
      </c>
      <c r="E325" s="760">
        <v>0</v>
      </c>
      <c r="F325" s="350" t="s">
        <v>210</v>
      </c>
      <c r="G325" s="739"/>
      <c r="H325" s="32" t="s">
        <v>691</v>
      </c>
      <c r="I325" s="1101" t="s">
        <v>353</v>
      </c>
      <c r="J325" s="709"/>
    </row>
    <row r="326" spans="2:10" s="692" customFormat="1" ht="18.75" x14ac:dyDescent="0.25">
      <c r="B326" s="1081" t="s">
        <v>1114</v>
      </c>
      <c r="C326" s="1082" t="s">
        <v>196</v>
      </c>
      <c r="D326" s="1088" t="s">
        <v>1115</v>
      </c>
      <c r="E326" s="760">
        <v>0</v>
      </c>
      <c r="F326" s="345" t="s">
        <v>371</v>
      </c>
      <c r="G326" s="739"/>
      <c r="H326" s="34" t="s">
        <v>1116</v>
      </c>
      <c r="I326" s="1101" t="s">
        <v>353</v>
      </c>
      <c r="J326" s="709"/>
    </row>
    <row r="327" spans="2:10" s="692" customFormat="1" ht="18.75" x14ac:dyDescent="0.25">
      <c r="B327" s="1081" t="s">
        <v>1117</v>
      </c>
      <c r="C327" s="1082" t="s">
        <v>196</v>
      </c>
      <c r="D327" s="1093" t="s">
        <v>1118</v>
      </c>
      <c r="E327" s="760">
        <v>0</v>
      </c>
      <c r="F327" s="345" t="s">
        <v>371</v>
      </c>
      <c r="G327" s="739"/>
      <c r="H327" s="34" t="s">
        <v>1116</v>
      </c>
      <c r="I327" s="1101" t="s">
        <v>353</v>
      </c>
      <c r="J327" s="709"/>
    </row>
    <row r="328" spans="2:10" s="692" customFormat="1" ht="18.75" x14ac:dyDescent="0.25">
      <c r="B328" s="767" t="s">
        <v>1119</v>
      </c>
      <c r="C328" s="768" t="s">
        <v>196</v>
      </c>
      <c r="D328" s="909" t="s">
        <v>1120</v>
      </c>
      <c r="E328" s="760" t="s">
        <v>399</v>
      </c>
      <c r="F328" s="639" t="s">
        <v>400</v>
      </c>
      <c r="G328" s="739"/>
      <c r="H328" s="34"/>
      <c r="I328" s="1101"/>
      <c r="J328" s="709"/>
    </row>
    <row r="329" spans="2:10" s="692" customFormat="1" ht="18.75" x14ac:dyDescent="0.25">
      <c r="B329" s="767" t="s">
        <v>1121</v>
      </c>
      <c r="C329" s="768" t="s">
        <v>1122</v>
      </c>
      <c r="D329" s="886" t="s">
        <v>1123</v>
      </c>
      <c r="E329" s="760" t="s">
        <v>399</v>
      </c>
      <c r="F329" s="639" t="s">
        <v>400</v>
      </c>
      <c r="G329" s="739"/>
      <c r="H329" s="255"/>
      <c r="I329" s="1101"/>
      <c r="J329" s="709"/>
    </row>
    <row r="330" spans="2:10" s="692" customFormat="1" ht="18.75" x14ac:dyDescent="0.25">
      <c r="B330" s="767" t="s">
        <v>1124</v>
      </c>
      <c r="C330" s="768" t="s">
        <v>1122</v>
      </c>
      <c r="D330" s="886" t="s">
        <v>1125</v>
      </c>
      <c r="E330" s="760" t="s">
        <v>399</v>
      </c>
      <c r="F330" s="639" t="s">
        <v>400</v>
      </c>
      <c r="G330" s="739"/>
      <c r="H330" s="255"/>
      <c r="I330" s="1101"/>
      <c r="J330" s="709"/>
    </row>
    <row r="331" spans="2:10" s="692" customFormat="1" ht="18.75" x14ac:dyDescent="0.3">
      <c r="B331" s="767" t="s">
        <v>1126</v>
      </c>
      <c r="C331" s="768" t="s">
        <v>755</v>
      </c>
      <c r="D331" s="905" t="s">
        <v>756</v>
      </c>
      <c r="E331" s="760" t="s">
        <v>399</v>
      </c>
      <c r="F331" s="639" t="s">
        <v>400</v>
      </c>
      <c r="G331" s="739"/>
      <c r="H331" s="34"/>
      <c r="I331" s="1101"/>
      <c r="J331" s="709"/>
    </row>
    <row r="332" spans="2:10" s="692" customFormat="1" ht="24.6" customHeight="1" x14ac:dyDescent="0.3">
      <c r="B332" s="767" t="s">
        <v>1127</v>
      </c>
      <c r="C332" s="768" t="s">
        <v>755</v>
      </c>
      <c r="D332" s="905" t="s">
        <v>758</v>
      </c>
      <c r="E332" s="760" t="s">
        <v>399</v>
      </c>
      <c r="F332" s="639" t="s">
        <v>400</v>
      </c>
      <c r="G332" s="739"/>
      <c r="H332" s="34"/>
      <c r="I332" s="1101"/>
      <c r="J332" s="709"/>
    </row>
    <row r="333" spans="2:10" s="692" customFormat="1" ht="18.75" x14ac:dyDescent="0.3">
      <c r="B333" s="767" t="s">
        <v>1128</v>
      </c>
      <c r="C333" s="768" t="s">
        <v>755</v>
      </c>
      <c r="D333" s="905" t="s">
        <v>760</v>
      </c>
      <c r="E333" s="760" t="s">
        <v>399</v>
      </c>
      <c r="F333" s="639" t="s">
        <v>400</v>
      </c>
      <c r="G333" s="739"/>
      <c r="H333" s="34"/>
      <c r="I333" s="1101"/>
      <c r="J333" s="709"/>
    </row>
    <row r="334" spans="2:10" s="692" customFormat="1" ht="18.75" x14ac:dyDescent="0.25">
      <c r="B334" s="767" t="s">
        <v>1129</v>
      </c>
      <c r="C334" s="768" t="s">
        <v>762</v>
      </c>
      <c r="D334" s="774" t="s">
        <v>763</v>
      </c>
      <c r="E334" s="760" t="s">
        <v>399</v>
      </c>
      <c r="F334" s="639" t="s">
        <v>400</v>
      </c>
      <c r="G334" s="739"/>
      <c r="H334" s="34"/>
      <c r="I334" s="1101"/>
      <c r="J334" s="709"/>
    </row>
    <row r="335" spans="2:10" s="692" customFormat="1" ht="18.75" x14ac:dyDescent="0.25">
      <c r="B335" s="767" t="s">
        <v>1130</v>
      </c>
      <c r="C335" s="768" t="s">
        <v>762</v>
      </c>
      <c r="D335" s="774" t="s">
        <v>765</v>
      </c>
      <c r="E335" s="760" t="s">
        <v>399</v>
      </c>
      <c r="F335" s="639" t="s">
        <v>400</v>
      </c>
      <c r="G335" s="739"/>
      <c r="H335" s="34"/>
      <c r="I335" s="1101"/>
      <c r="J335" s="709"/>
    </row>
    <row r="336" spans="2:10" s="692" customFormat="1" ht="18.75" x14ac:dyDescent="0.25">
      <c r="B336" s="767" t="s">
        <v>1131</v>
      </c>
      <c r="C336" s="768" t="s">
        <v>762</v>
      </c>
      <c r="D336" s="774" t="s">
        <v>1132</v>
      </c>
      <c r="E336" s="760" t="s">
        <v>399</v>
      </c>
      <c r="F336" s="639" t="s">
        <v>400</v>
      </c>
      <c r="G336" s="739"/>
      <c r="H336" s="34"/>
      <c r="I336" s="1101"/>
      <c r="J336" s="709"/>
    </row>
    <row r="337" spans="2:10" s="692" customFormat="1" ht="18.75" x14ac:dyDescent="0.25">
      <c r="B337" s="767" t="s">
        <v>1133</v>
      </c>
      <c r="C337" s="768" t="s">
        <v>762</v>
      </c>
      <c r="D337" s="774" t="s">
        <v>769</v>
      </c>
      <c r="E337" s="760" t="s">
        <v>399</v>
      </c>
      <c r="F337" s="639" t="s">
        <v>400</v>
      </c>
      <c r="G337" s="739"/>
      <c r="H337" s="34"/>
      <c r="I337" s="1101"/>
      <c r="J337" s="709"/>
    </row>
    <row r="338" spans="2:10" s="692" customFormat="1" ht="18.75" x14ac:dyDescent="0.3">
      <c r="B338" s="767" t="s">
        <v>1134</v>
      </c>
      <c r="C338" s="768" t="s">
        <v>771</v>
      </c>
      <c r="D338" s="905" t="s">
        <v>772</v>
      </c>
      <c r="E338" s="760" t="s">
        <v>399</v>
      </c>
      <c r="F338" s="639" t="s">
        <v>400</v>
      </c>
      <c r="G338" s="739"/>
      <c r="H338" s="34"/>
      <c r="I338" s="1101"/>
      <c r="J338" s="709"/>
    </row>
    <row r="339" spans="2:10" s="692" customFormat="1" ht="18.75" x14ac:dyDescent="0.25">
      <c r="B339" s="1081" t="s">
        <v>1135</v>
      </c>
      <c r="C339" s="1082" t="s">
        <v>774</v>
      </c>
      <c r="D339" s="1089" t="s">
        <v>1136</v>
      </c>
      <c r="E339" s="760">
        <v>0</v>
      </c>
      <c r="F339" s="347" t="s">
        <v>384</v>
      </c>
      <c r="G339" s="739"/>
      <c r="H339" s="34"/>
      <c r="I339" s="1101" t="s">
        <v>353</v>
      </c>
      <c r="J339" s="910"/>
    </row>
    <row r="340" spans="2:10" s="692" customFormat="1" ht="18.75" x14ac:dyDescent="0.25">
      <c r="B340" s="1081" t="s">
        <v>1137</v>
      </c>
      <c r="C340" s="1082" t="s">
        <v>774</v>
      </c>
      <c r="D340" s="1089" t="s">
        <v>1138</v>
      </c>
      <c r="E340" s="760">
        <v>0</v>
      </c>
      <c r="F340" s="347" t="s">
        <v>384</v>
      </c>
      <c r="G340" s="739"/>
      <c r="H340" s="34" t="s">
        <v>1139</v>
      </c>
      <c r="I340" s="1101" t="s">
        <v>353</v>
      </c>
      <c r="J340" s="910"/>
    </row>
    <row r="341" spans="2:10" s="692" customFormat="1" ht="27" x14ac:dyDescent="0.25">
      <c r="B341" s="1081" t="s">
        <v>1140</v>
      </c>
      <c r="C341" s="1082" t="s">
        <v>774</v>
      </c>
      <c r="D341" s="1089" t="s">
        <v>1141</v>
      </c>
      <c r="E341" s="760">
        <v>0</v>
      </c>
      <c r="F341" s="347" t="s">
        <v>384</v>
      </c>
      <c r="G341" s="739"/>
      <c r="H341" s="32" t="s">
        <v>1142</v>
      </c>
      <c r="I341" s="1101" t="s">
        <v>353</v>
      </c>
      <c r="J341" s="910"/>
    </row>
    <row r="342" spans="2:10" s="692" customFormat="1" ht="18.75" x14ac:dyDescent="0.25">
      <c r="B342" s="1081" t="s">
        <v>1143</v>
      </c>
      <c r="C342" s="1082" t="s">
        <v>1144</v>
      </c>
      <c r="D342" s="1088" t="s">
        <v>1145</v>
      </c>
      <c r="E342" s="760" t="s">
        <v>399</v>
      </c>
      <c r="F342" s="345" t="s">
        <v>400</v>
      </c>
      <c r="G342" s="739"/>
      <c r="H342" s="255"/>
      <c r="I342" s="1101" t="s">
        <v>353</v>
      </c>
      <c r="J342" s="910"/>
    </row>
    <row r="343" spans="2:10" s="692" customFormat="1" ht="18.75" x14ac:dyDescent="0.25">
      <c r="B343" s="767" t="s">
        <v>1146</v>
      </c>
      <c r="C343" s="768" t="s">
        <v>1144</v>
      </c>
      <c r="D343" s="788" t="s">
        <v>1147</v>
      </c>
      <c r="E343" s="760">
        <v>0</v>
      </c>
      <c r="F343" s="1214" t="s">
        <v>1148</v>
      </c>
      <c r="G343" s="739"/>
      <c r="H343" s="255"/>
      <c r="I343" s="1101"/>
      <c r="J343" s="910"/>
    </row>
    <row r="344" spans="2:10" s="692" customFormat="1" ht="18.75" x14ac:dyDescent="0.25">
      <c r="B344" s="767" t="s">
        <v>1149</v>
      </c>
      <c r="C344" s="768" t="s">
        <v>1144</v>
      </c>
      <c r="D344" s="788" t="s">
        <v>1150</v>
      </c>
      <c r="E344" s="760">
        <v>0</v>
      </c>
      <c r="F344" s="345" t="s">
        <v>1151</v>
      </c>
      <c r="G344" s="739"/>
      <c r="H344" s="255"/>
      <c r="I344" s="1101"/>
      <c r="J344" s="910"/>
    </row>
    <row r="345" spans="2:10" s="692" customFormat="1" ht="18.75" x14ac:dyDescent="0.25">
      <c r="B345" s="767" t="s">
        <v>1152</v>
      </c>
      <c r="C345" s="768" t="s">
        <v>1144</v>
      </c>
      <c r="D345" s="788" t="s">
        <v>1153</v>
      </c>
      <c r="E345" s="760">
        <v>0</v>
      </c>
      <c r="F345" s="345" t="s">
        <v>1151</v>
      </c>
      <c r="G345" s="739"/>
      <c r="H345" s="255"/>
      <c r="I345" s="1101"/>
      <c r="J345" s="910"/>
    </row>
    <row r="346" spans="2:10" s="692" customFormat="1" ht="18.75" x14ac:dyDescent="0.3">
      <c r="B346" s="767" t="s">
        <v>1154</v>
      </c>
      <c r="C346" s="768" t="s">
        <v>806</v>
      </c>
      <c r="D346" s="905" t="s">
        <v>807</v>
      </c>
      <c r="E346" s="760">
        <v>0</v>
      </c>
      <c r="F346" s="639"/>
      <c r="G346" s="739"/>
      <c r="H346" s="34"/>
      <c r="I346" s="1101"/>
      <c r="J346" s="910"/>
    </row>
    <row r="347" spans="2:10" s="692" customFormat="1" ht="18.75" x14ac:dyDescent="0.3">
      <c r="B347" s="767" t="s">
        <v>1155</v>
      </c>
      <c r="C347" s="768" t="s">
        <v>809</v>
      </c>
      <c r="D347" s="905" t="s">
        <v>1156</v>
      </c>
      <c r="E347" s="760" t="s">
        <v>399</v>
      </c>
      <c r="F347" s="639" t="s">
        <v>400</v>
      </c>
      <c r="G347" s="739"/>
      <c r="H347" s="34"/>
      <c r="I347" s="1101"/>
      <c r="J347" s="910"/>
    </row>
    <row r="348" spans="2:10" s="692" customFormat="1" ht="18.75" x14ac:dyDescent="0.25">
      <c r="B348" s="767" t="s">
        <v>1157</v>
      </c>
      <c r="C348" s="768" t="s">
        <v>812</v>
      </c>
      <c r="D348" s="886" t="s">
        <v>813</v>
      </c>
      <c r="E348" s="760" t="s">
        <v>399</v>
      </c>
      <c r="F348" s="639" t="s">
        <v>400</v>
      </c>
      <c r="G348" s="739"/>
      <c r="H348" s="709"/>
      <c r="I348" s="1101"/>
      <c r="J348" s="910"/>
    </row>
    <row r="349" spans="2:10" s="692" customFormat="1" ht="27" x14ac:dyDescent="0.25">
      <c r="B349" s="1081" t="s">
        <v>1158</v>
      </c>
      <c r="C349" s="1082" t="s">
        <v>815</v>
      </c>
      <c r="D349" s="1175" t="s">
        <v>1159</v>
      </c>
      <c r="E349" s="760">
        <v>0</v>
      </c>
      <c r="F349" s="347">
        <f>$E$10</f>
        <v>0</v>
      </c>
      <c r="G349" s="739"/>
      <c r="H349" s="350" t="s">
        <v>1160</v>
      </c>
      <c r="I349" s="1101" t="s">
        <v>353</v>
      </c>
      <c r="J349" s="910"/>
    </row>
    <row r="350" spans="2:10" s="692" customFormat="1" ht="18.75" x14ac:dyDescent="0.25">
      <c r="B350" s="1081" t="s">
        <v>1161</v>
      </c>
      <c r="C350" s="1082" t="s">
        <v>815</v>
      </c>
      <c r="D350" s="1089" t="s">
        <v>1162</v>
      </c>
      <c r="E350" s="760">
        <v>0</v>
      </c>
      <c r="F350" s="347" t="str">
        <f>$E$10&amp;"/t"</f>
        <v>0/t</v>
      </c>
      <c r="G350" s="739"/>
      <c r="H350" s="350" t="s">
        <v>1163</v>
      </c>
      <c r="I350" s="1101" t="s">
        <v>353</v>
      </c>
      <c r="J350" s="910"/>
    </row>
    <row r="351" spans="2:10" s="692" customFormat="1" ht="27" x14ac:dyDescent="0.25">
      <c r="B351" s="1081" t="s">
        <v>1164</v>
      </c>
      <c r="C351" s="1082" t="s">
        <v>815</v>
      </c>
      <c r="D351" s="1089" t="s">
        <v>1165</v>
      </c>
      <c r="E351" s="760">
        <v>0</v>
      </c>
      <c r="F351" s="347">
        <f>$E$10</f>
        <v>0</v>
      </c>
      <c r="G351" s="739"/>
      <c r="H351" s="32" t="s">
        <v>1166</v>
      </c>
      <c r="I351" s="1101" t="s">
        <v>353</v>
      </c>
      <c r="J351" s="910"/>
    </row>
    <row r="352" spans="2:10" s="692" customFormat="1" ht="18.75" x14ac:dyDescent="0.25">
      <c r="B352" s="1081" t="s">
        <v>1167</v>
      </c>
      <c r="C352" s="1082" t="s">
        <v>815</v>
      </c>
      <c r="D352" s="1089" t="s">
        <v>1168</v>
      </c>
      <c r="E352" s="760">
        <v>0</v>
      </c>
      <c r="F352" s="347" t="s">
        <v>367</v>
      </c>
      <c r="G352" s="739"/>
      <c r="H352" s="261"/>
      <c r="I352" s="1101" t="s">
        <v>353</v>
      </c>
      <c r="J352" s="910"/>
    </row>
    <row r="353" spans="2:10" s="692" customFormat="1" ht="18.75" x14ac:dyDescent="0.25">
      <c r="B353" s="1081" t="s">
        <v>1169</v>
      </c>
      <c r="C353" s="1082" t="s">
        <v>815</v>
      </c>
      <c r="D353" s="1089" t="s">
        <v>1170</v>
      </c>
      <c r="E353" s="760">
        <v>0</v>
      </c>
      <c r="F353" s="347" t="str">
        <f>$E$10&amp;"/t"</f>
        <v>0/t</v>
      </c>
      <c r="G353" s="739"/>
      <c r="H353" s="34"/>
      <c r="I353" s="1101" t="s">
        <v>353</v>
      </c>
      <c r="J353" s="910"/>
    </row>
    <row r="354" spans="2:10" s="692" customFormat="1" ht="18.75" x14ac:dyDescent="0.25">
      <c r="B354" s="1081" t="s">
        <v>1171</v>
      </c>
      <c r="C354" s="1082" t="s">
        <v>815</v>
      </c>
      <c r="D354" s="1089" t="s">
        <v>820</v>
      </c>
      <c r="E354" s="760">
        <v>0</v>
      </c>
      <c r="F354" s="347">
        <f>$E$10</f>
        <v>0</v>
      </c>
      <c r="G354" s="739"/>
      <c r="H354" s="255" t="s">
        <v>821</v>
      </c>
      <c r="I354" s="1101" t="s">
        <v>353</v>
      </c>
      <c r="J354" s="910"/>
    </row>
    <row r="355" spans="2:10" s="692" customFormat="1" ht="27" x14ac:dyDescent="0.25">
      <c r="B355" s="1081" t="s">
        <v>1172</v>
      </c>
      <c r="C355" s="1082" t="s">
        <v>815</v>
      </c>
      <c r="D355" s="1175" t="s">
        <v>1173</v>
      </c>
      <c r="E355" s="760">
        <v>0</v>
      </c>
      <c r="F355" s="347">
        <f t="shared" ref="F355:F360" si="3">$E$10</f>
        <v>0</v>
      </c>
      <c r="G355" s="739"/>
      <c r="H355" s="350" t="s">
        <v>1174</v>
      </c>
      <c r="I355" s="1101" t="s">
        <v>353</v>
      </c>
      <c r="J355" s="709"/>
    </row>
    <row r="356" spans="2:10" s="692" customFormat="1" ht="18.75" x14ac:dyDescent="0.25">
      <c r="B356" s="1081" t="s">
        <v>1175</v>
      </c>
      <c r="C356" s="1082" t="s">
        <v>815</v>
      </c>
      <c r="D356" s="1089" t="s">
        <v>1176</v>
      </c>
      <c r="E356" s="760">
        <v>0</v>
      </c>
      <c r="F356" s="347">
        <f t="shared" si="3"/>
        <v>0</v>
      </c>
      <c r="G356" s="739"/>
      <c r="H356" s="1000"/>
      <c r="I356" s="1101" t="s">
        <v>353</v>
      </c>
      <c r="J356" s="709"/>
    </row>
    <row r="357" spans="2:10" s="692" customFormat="1" ht="27" x14ac:dyDescent="0.25">
      <c r="B357" s="1081" t="s">
        <v>1177</v>
      </c>
      <c r="C357" s="1082" t="s">
        <v>815</v>
      </c>
      <c r="D357" s="1175" t="s">
        <v>1178</v>
      </c>
      <c r="E357" s="760">
        <v>0</v>
      </c>
      <c r="F357" s="347">
        <f t="shared" si="3"/>
        <v>0</v>
      </c>
      <c r="G357" s="739"/>
      <c r="H357" s="350" t="s">
        <v>1179</v>
      </c>
      <c r="I357" s="1101" t="s">
        <v>353</v>
      </c>
      <c r="J357" s="910"/>
    </row>
    <row r="358" spans="2:10" s="692" customFormat="1" ht="18.75" x14ac:dyDescent="0.25">
      <c r="B358" s="1081" t="s">
        <v>1180</v>
      </c>
      <c r="C358" s="1082" t="s">
        <v>815</v>
      </c>
      <c r="D358" s="1175" t="s">
        <v>1181</v>
      </c>
      <c r="E358" s="760">
        <v>0</v>
      </c>
      <c r="F358" s="347">
        <f t="shared" si="3"/>
        <v>0</v>
      </c>
      <c r="G358" s="739"/>
      <c r="H358" s="1000"/>
      <c r="I358" s="1101" t="s">
        <v>353</v>
      </c>
      <c r="J358" s="910"/>
    </row>
    <row r="359" spans="2:10" s="692" customFormat="1" ht="27" x14ac:dyDescent="0.25">
      <c r="B359" s="1081" t="s">
        <v>1182</v>
      </c>
      <c r="C359" s="1082" t="s">
        <v>815</v>
      </c>
      <c r="D359" s="1175" t="s">
        <v>1183</v>
      </c>
      <c r="E359" s="760">
        <v>0</v>
      </c>
      <c r="F359" s="347">
        <f t="shared" si="3"/>
        <v>0</v>
      </c>
      <c r="G359" s="739"/>
      <c r="H359" s="350" t="s">
        <v>1184</v>
      </c>
      <c r="I359" s="1101" t="s">
        <v>353</v>
      </c>
      <c r="J359" s="910"/>
    </row>
    <row r="360" spans="2:10" s="692" customFormat="1" ht="18.75" x14ac:dyDescent="0.25">
      <c r="B360" s="1081" t="s">
        <v>1185</v>
      </c>
      <c r="C360" s="1082" t="s">
        <v>815</v>
      </c>
      <c r="D360" s="1175" t="s">
        <v>1186</v>
      </c>
      <c r="E360" s="760">
        <v>0</v>
      </c>
      <c r="F360" s="347">
        <f t="shared" si="3"/>
        <v>0</v>
      </c>
      <c r="G360" s="739"/>
      <c r="H360" s="1000"/>
      <c r="I360" s="1101" t="s">
        <v>353</v>
      </c>
      <c r="J360" s="910"/>
    </row>
    <row r="361" spans="2:10" s="692" customFormat="1" ht="18.75" x14ac:dyDescent="0.25">
      <c r="B361" s="767" t="s">
        <v>1187</v>
      </c>
      <c r="C361" s="768" t="s">
        <v>823</v>
      </c>
      <c r="D361" s="792" t="s">
        <v>824</v>
      </c>
      <c r="E361" s="760">
        <v>0</v>
      </c>
      <c r="F361" s="639" t="s">
        <v>539</v>
      </c>
      <c r="G361" s="739"/>
      <c r="H361" s="1000"/>
      <c r="I361" s="1101"/>
      <c r="J361" s="910"/>
    </row>
    <row r="362" spans="2:10" s="692" customFormat="1" ht="18.75" x14ac:dyDescent="0.25">
      <c r="B362" s="767" t="s">
        <v>1188</v>
      </c>
      <c r="C362" s="768" t="s">
        <v>826</v>
      </c>
      <c r="D362" s="792" t="s">
        <v>827</v>
      </c>
      <c r="E362" s="760" t="s">
        <v>399</v>
      </c>
      <c r="F362" s="639" t="s">
        <v>400</v>
      </c>
      <c r="G362" s="739"/>
      <c r="H362" s="1000"/>
      <c r="I362" s="1101"/>
      <c r="J362" s="910"/>
    </row>
    <row r="363" spans="2:10" s="692" customFormat="1" ht="18.75" x14ac:dyDescent="0.25">
      <c r="B363" s="767" t="s">
        <v>1189</v>
      </c>
      <c r="C363" s="768" t="s">
        <v>1190</v>
      </c>
      <c r="D363" s="792" t="s">
        <v>1191</v>
      </c>
      <c r="E363" s="760" t="s">
        <v>399</v>
      </c>
      <c r="F363" s="639" t="s">
        <v>400</v>
      </c>
      <c r="G363" s="739"/>
      <c r="H363" s="1000"/>
      <c r="I363" s="1101"/>
      <c r="J363" s="910"/>
    </row>
    <row r="364" spans="2:10" s="692" customFormat="1" ht="18.75" x14ac:dyDescent="0.25">
      <c r="B364" s="767" t="s">
        <v>1192</v>
      </c>
      <c r="C364" s="768" t="s">
        <v>1190</v>
      </c>
      <c r="D364" s="792" t="s">
        <v>1193</v>
      </c>
      <c r="E364" s="760">
        <v>0</v>
      </c>
      <c r="F364" s="350"/>
      <c r="G364" s="739"/>
      <c r="H364" s="1000"/>
      <c r="I364" s="1101"/>
      <c r="J364" s="910"/>
    </row>
    <row r="365" spans="2:10" s="692" customFormat="1" ht="18.75" x14ac:dyDescent="0.25">
      <c r="B365" s="767" t="s">
        <v>1194</v>
      </c>
      <c r="C365" s="768" t="s">
        <v>1190</v>
      </c>
      <c r="D365" s="792" t="s">
        <v>1195</v>
      </c>
      <c r="E365" s="760">
        <v>0</v>
      </c>
      <c r="F365" s="350"/>
      <c r="G365" s="739"/>
      <c r="H365" s="1000"/>
      <c r="I365" s="1101"/>
      <c r="J365" s="910"/>
    </row>
    <row r="366" spans="2:10" s="692" customFormat="1" ht="18.75" x14ac:dyDescent="0.25">
      <c r="B366" s="767" t="s">
        <v>1196</v>
      </c>
      <c r="C366" s="768" t="s">
        <v>1190</v>
      </c>
      <c r="D366" s="792" t="s">
        <v>1197</v>
      </c>
      <c r="E366" s="760">
        <v>0</v>
      </c>
      <c r="F366" s="350"/>
      <c r="G366" s="739"/>
      <c r="H366" s="1000"/>
      <c r="I366" s="1101"/>
      <c r="J366" s="910"/>
    </row>
    <row r="367" spans="2:10" s="692" customFormat="1" ht="18.75" x14ac:dyDescent="0.25">
      <c r="B367" s="767" t="s">
        <v>1198</v>
      </c>
      <c r="C367" s="768" t="s">
        <v>1199</v>
      </c>
      <c r="D367" s="792" t="s">
        <v>1200</v>
      </c>
      <c r="E367" s="760" t="s">
        <v>399</v>
      </c>
      <c r="F367" s="1308" t="s">
        <v>400</v>
      </c>
      <c r="G367" s="739"/>
      <c r="H367" s="1000"/>
      <c r="I367" s="1101"/>
      <c r="J367" s="910"/>
    </row>
    <row r="368" spans="2:10" s="692" customFormat="1" ht="40.5" x14ac:dyDescent="0.25">
      <c r="B368" s="1081" t="s">
        <v>1201</v>
      </c>
      <c r="C368" s="1082" t="s">
        <v>829</v>
      </c>
      <c r="D368" s="1089" t="s">
        <v>1202</v>
      </c>
      <c r="E368" s="760">
        <v>0</v>
      </c>
      <c r="F368" s="344" t="s">
        <v>210</v>
      </c>
      <c r="G368" s="739"/>
      <c r="H368" s="32" t="s">
        <v>831</v>
      </c>
      <c r="I368" s="1101" t="s">
        <v>353</v>
      </c>
      <c r="J368" s="709"/>
    </row>
    <row r="369" spans="2:10" s="692" customFormat="1" ht="40.5" x14ac:dyDescent="0.25">
      <c r="B369" s="1081" t="s">
        <v>1203</v>
      </c>
      <c r="C369" s="1082" t="s">
        <v>833</v>
      </c>
      <c r="D369" s="1089" t="s">
        <v>1204</v>
      </c>
      <c r="E369" s="760">
        <v>0</v>
      </c>
      <c r="F369" s="489" t="s">
        <v>835</v>
      </c>
      <c r="G369" s="739"/>
      <c r="H369" s="32" t="s">
        <v>1205</v>
      </c>
      <c r="I369" s="1101" t="s">
        <v>353</v>
      </c>
      <c r="J369" s="910"/>
    </row>
    <row r="370" spans="2:10" s="692" customFormat="1" ht="18.75" x14ac:dyDescent="0.25">
      <c r="B370" s="1081" t="s">
        <v>1206</v>
      </c>
      <c r="C370" s="1082" t="s">
        <v>833</v>
      </c>
      <c r="D370" s="1089" t="s">
        <v>838</v>
      </c>
      <c r="E370" s="760">
        <v>0</v>
      </c>
      <c r="F370" s="349"/>
      <c r="G370" s="739"/>
      <c r="H370" s="32" t="s">
        <v>1207</v>
      </c>
      <c r="I370" s="1101" t="s">
        <v>353</v>
      </c>
      <c r="J370" s="910"/>
    </row>
    <row r="371" spans="2:10" s="692" customFormat="1" ht="18.75" x14ac:dyDescent="0.25">
      <c r="B371" s="1081" t="s">
        <v>1208</v>
      </c>
      <c r="C371" s="1082" t="s">
        <v>847</v>
      </c>
      <c r="D371" s="1089" t="s">
        <v>848</v>
      </c>
      <c r="E371" s="760">
        <v>0</v>
      </c>
      <c r="F371" s="345"/>
      <c r="G371" s="739"/>
      <c r="H371" s="32" t="s">
        <v>1209</v>
      </c>
      <c r="I371" s="1101" t="s">
        <v>353</v>
      </c>
      <c r="J371" s="910"/>
    </row>
    <row r="372" spans="2:10" s="692" customFormat="1" ht="18.75" x14ac:dyDescent="0.25">
      <c r="B372" s="1081" t="s">
        <v>1210</v>
      </c>
      <c r="C372" s="1082" t="s">
        <v>847</v>
      </c>
      <c r="D372" s="1089" t="s">
        <v>775</v>
      </c>
      <c r="E372" s="760">
        <v>0</v>
      </c>
      <c r="F372" s="345"/>
      <c r="G372" s="739"/>
      <c r="H372" s="32" t="s">
        <v>1209</v>
      </c>
      <c r="I372" s="1101" t="s">
        <v>353</v>
      </c>
      <c r="J372" s="910"/>
    </row>
    <row r="373" spans="2:10" s="692" customFormat="1" ht="21.6" customHeight="1" x14ac:dyDescent="0.25">
      <c r="B373" s="1113" t="s">
        <v>1211</v>
      </c>
      <c r="C373" s="1114"/>
      <c r="D373" s="1216" t="s">
        <v>1212</v>
      </c>
      <c r="E373" s="760">
        <v>0</v>
      </c>
      <c r="F373" s="347" t="s">
        <v>367</v>
      </c>
      <c r="G373" s="739"/>
      <c r="H373" s="342"/>
      <c r="I373" s="1101" t="s">
        <v>353</v>
      </c>
      <c r="J373" s="709"/>
    </row>
    <row r="374" spans="2:10" s="692" customFormat="1" ht="18.75" x14ac:dyDescent="0.25">
      <c r="B374" s="1113" t="s">
        <v>1213</v>
      </c>
      <c r="C374" s="1114"/>
      <c r="D374" s="1216" t="s">
        <v>1214</v>
      </c>
      <c r="E374" s="760">
        <v>0</v>
      </c>
      <c r="F374" s="347" t="s">
        <v>367</v>
      </c>
      <c r="G374" s="739"/>
      <c r="H374" s="185"/>
      <c r="I374" s="1101" t="s">
        <v>353</v>
      </c>
      <c r="J374" s="709"/>
    </row>
    <row r="375" spans="2:10" s="692" customFormat="1" ht="27" x14ac:dyDescent="0.25">
      <c r="B375" s="1113" t="s">
        <v>1215</v>
      </c>
      <c r="C375" s="1114"/>
      <c r="D375" s="1216" t="s">
        <v>1216</v>
      </c>
      <c r="E375" s="760">
        <v>0</v>
      </c>
      <c r="F375" s="350" t="s">
        <v>390</v>
      </c>
      <c r="G375" s="739"/>
      <c r="H375" s="32" t="s">
        <v>1217</v>
      </c>
      <c r="I375" s="1101" t="s">
        <v>353</v>
      </c>
      <c r="J375" s="709"/>
    </row>
    <row r="376" spans="2:10" s="692" customFormat="1" ht="18.75" x14ac:dyDescent="0.25">
      <c r="B376" s="1113" t="s">
        <v>1218</v>
      </c>
      <c r="C376" s="1114"/>
      <c r="D376" s="1156" t="s">
        <v>1219</v>
      </c>
      <c r="E376" s="760">
        <v>0</v>
      </c>
      <c r="F376" s="344" t="s">
        <v>367</v>
      </c>
      <c r="G376" s="739"/>
      <c r="H376" s="34"/>
      <c r="I376" s="1101" t="s">
        <v>353</v>
      </c>
      <c r="J376" s="709"/>
    </row>
    <row r="377" spans="2:10" s="692" customFormat="1" ht="18.75" x14ac:dyDescent="0.25">
      <c r="B377" s="1113" t="s">
        <v>1220</v>
      </c>
      <c r="C377" s="1114"/>
      <c r="D377" s="1156" t="s">
        <v>1221</v>
      </c>
      <c r="E377" s="760">
        <v>0</v>
      </c>
      <c r="F377" s="344" t="s">
        <v>367</v>
      </c>
      <c r="G377" s="739"/>
      <c r="H377" s="34"/>
      <c r="I377" s="1101" t="s">
        <v>353</v>
      </c>
      <c r="J377" s="709"/>
    </row>
    <row r="378" spans="2:10" s="692" customFormat="1" ht="18.75" x14ac:dyDescent="0.25">
      <c r="B378" s="1113" t="s">
        <v>1222</v>
      </c>
      <c r="C378" s="1114"/>
      <c r="D378" s="1156" t="s">
        <v>1223</v>
      </c>
      <c r="E378" s="760">
        <v>0</v>
      </c>
      <c r="F378" s="344" t="s">
        <v>367</v>
      </c>
      <c r="G378" s="739"/>
      <c r="H378" s="34"/>
      <c r="I378" s="1101" t="s">
        <v>353</v>
      </c>
      <c r="J378" s="709"/>
    </row>
    <row r="379" spans="2:10" s="692" customFormat="1" ht="18.75" x14ac:dyDescent="0.25">
      <c r="B379" s="1113" t="s">
        <v>1224</v>
      </c>
      <c r="C379" s="1114"/>
      <c r="D379" s="1156" t="s">
        <v>1225</v>
      </c>
      <c r="E379" s="760">
        <v>0</v>
      </c>
      <c r="F379" s="344" t="s">
        <v>367</v>
      </c>
      <c r="G379" s="739"/>
      <c r="H379" s="261"/>
      <c r="I379" s="1101" t="s">
        <v>353</v>
      </c>
      <c r="J379" s="709"/>
    </row>
    <row r="380" spans="2:10" s="692" customFormat="1" ht="27" x14ac:dyDescent="0.25">
      <c r="B380" s="1113" t="s">
        <v>1226</v>
      </c>
      <c r="C380" s="1114"/>
      <c r="D380" s="1156" t="s">
        <v>1227</v>
      </c>
      <c r="E380" s="760">
        <v>0</v>
      </c>
      <c r="F380" s="344" t="s">
        <v>367</v>
      </c>
      <c r="G380" s="739"/>
      <c r="H380" s="32" t="s">
        <v>1228</v>
      </c>
      <c r="I380" s="1101" t="s">
        <v>353</v>
      </c>
      <c r="J380" s="709"/>
    </row>
    <row r="381" spans="2:10" s="692" customFormat="1" ht="27" x14ac:dyDescent="0.25">
      <c r="B381" s="1113" t="s">
        <v>1229</v>
      </c>
      <c r="C381" s="1114"/>
      <c r="D381" s="1156" t="s">
        <v>1230</v>
      </c>
      <c r="E381" s="760">
        <v>0</v>
      </c>
      <c r="F381" s="347">
        <f t="shared" ref="F381" si="4">$E$10</f>
        <v>0</v>
      </c>
      <c r="G381" s="739"/>
      <c r="H381" s="255" t="s">
        <v>1231</v>
      </c>
      <c r="I381" s="1101" t="s">
        <v>353</v>
      </c>
      <c r="J381" s="910"/>
    </row>
    <row r="382" spans="2:10" s="692" customFormat="1" ht="18.75" x14ac:dyDescent="0.25">
      <c r="B382" s="1113" t="s">
        <v>1232</v>
      </c>
      <c r="C382" s="1114"/>
      <c r="D382" s="1218" t="s">
        <v>869</v>
      </c>
      <c r="E382" s="760" t="s">
        <v>399</v>
      </c>
      <c r="F382" s="639" t="s">
        <v>400</v>
      </c>
      <c r="G382" s="739"/>
      <c r="H382" s="34"/>
      <c r="I382" s="1101" t="s">
        <v>353</v>
      </c>
      <c r="J382" s="910"/>
    </row>
    <row r="383" spans="2:10" s="692" customFormat="1" ht="54" x14ac:dyDescent="0.25">
      <c r="B383" s="1113" t="s">
        <v>1233</v>
      </c>
      <c r="C383" s="1114"/>
      <c r="D383" s="1217" t="s">
        <v>872</v>
      </c>
      <c r="E383" s="760">
        <v>0</v>
      </c>
      <c r="F383" s="345" t="s">
        <v>210</v>
      </c>
      <c r="G383" s="739"/>
      <c r="H383" s="347" t="s">
        <v>873</v>
      </c>
      <c r="I383" s="1101" t="s">
        <v>353</v>
      </c>
      <c r="J383" s="910"/>
    </row>
    <row r="384" spans="2:10" s="692" customFormat="1" ht="18.75" x14ac:dyDescent="0.3">
      <c r="B384" s="1081" t="s">
        <v>1234</v>
      </c>
      <c r="C384" s="1082"/>
      <c r="D384" s="1092" t="s">
        <v>1235</v>
      </c>
      <c r="E384" s="760">
        <v>0</v>
      </c>
      <c r="F384" s="653"/>
      <c r="G384" s="739"/>
      <c r="H384" s="1110" t="s">
        <v>1236</v>
      </c>
      <c r="I384" s="1101"/>
      <c r="J384" s="910"/>
    </row>
    <row r="385" spans="1:13" s="692" customFormat="1" ht="18.75" x14ac:dyDescent="0.3">
      <c r="B385" s="1081" t="s">
        <v>1237</v>
      </c>
      <c r="C385" s="1082"/>
      <c r="D385" s="1092" t="s">
        <v>1238</v>
      </c>
      <c r="E385" s="760">
        <v>0</v>
      </c>
      <c r="F385" s="653"/>
      <c r="G385" s="739"/>
      <c r="H385" s="1110" t="s">
        <v>1236</v>
      </c>
      <c r="I385" s="1101"/>
      <c r="J385" s="910"/>
    </row>
    <row r="386" spans="1:13" s="692" customFormat="1" ht="18.75" x14ac:dyDescent="0.25">
      <c r="C386" s="374"/>
      <c r="D386" s="346" t="s">
        <v>906</v>
      </c>
      <c r="E386" s="760">
        <v>0</v>
      </c>
      <c r="F386" s="653"/>
      <c r="G386" s="739"/>
      <c r="H386" s="709"/>
      <c r="I386" s="1101"/>
      <c r="J386" s="910"/>
    </row>
    <row r="387" spans="1:13" s="692" customFormat="1" ht="18.75" x14ac:dyDescent="0.25">
      <c r="B387" s="1081" t="s">
        <v>1239</v>
      </c>
      <c r="C387" s="1082" t="s">
        <v>908</v>
      </c>
      <c r="D387" s="1256" t="s">
        <v>1240</v>
      </c>
      <c r="E387" s="760" t="s">
        <v>399</v>
      </c>
      <c r="F387" s="639" t="s">
        <v>400</v>
      </c>
      <c r="G387" s="739"/>
      <c r="H387" s="709"/>
      <c r="I387" s="1101" t="s">
        <v>353</v>
      </c>
      <c r="J387" s="910"/>
    </row>
    <row r="388" spans="1:13" ht="27" x14ac:dyDescent="0.3">
      <c r="A388" s="692" t="s">
        <v>1241</v>
      </c>
      <c r="B388" s="1081" t="s">
        <v>1242</v>
      </c>
      <c r="C388" s="1082" t="s">
        <v>908</v>
      </c>
      <c r="D388" s="1089" t="s">
        <v>1243</v>
      </c>
      <c r="E388" s="760">
        <v>0</v>
      </c>
      <c r="F388" s="347" t="s">
        <v>1244</v>
      </c>
      <c r="G388" s="739"/>
      <c r="H388" s="1110" t="s">
        <v>1245</v>
      </c>
      <c r="I388" s="1101" t="s">
        <v>353</v>
      </c>
      <c r="J388" s="910"/>
      <c r="K388" s="692"/>
      <c r="L388" s="692" t="s">
        <v>1241</v>
      </c>
      <c r="M388" s="692" t="s">
        <v>1203</v>
      </c>
    </row>
    <row r="389" spans="1:13" ht="54" x14ac:dyDescent="0.3">
      <c r="A389" s="692" t="s">
        <v>1241</v>
      </c>
      <c r="B389" s="1081" t="s">
        <v>1246</v>
      </c>
      <c r="C389" s="1082" t="s">
        <v>908</v>
      </c>
      <c r="D389" s="1256" t="s">
        <v>1247</v>
      </c>
      <c r="E389" s="760">
        <v>0</v>
      </c>
      <c r="F389" s="347" t="s">
        <v>1244</v>
      </c>
      <c r="G389" s="739"/>
      <c r="H389" s="1110" t="s">
        <v>1248</v>
      </c>
      <c r="I389" s="1101"/>
      <c r="J389" s="910"/>
      <c r="K389" s="692"/>
      <c r="L389" s="692" t="s">
        <v>1241</v>
      </c>
      <c r="M389" s="692" t="s">
        <v>1210</v>
      </c>
    </row>
    <row r="390" spans="1:13" ht="20.100000000000001" customHeight="1" x14ac:dyDescent="0.3">
      <c r="A390" s="692" t="s">
        <v>1241</v>
      </c>
      <c r="B390" s="1081" t="s">
        <v>1249</v>
      </c>
      <c r="C390" s="1082" t="s">
        <v>908</v>
      </c>
      <c r="D390" s="1256" t="s">
        <v>1250</v>
      </c>
      <c r="E390" s="760">
        <v>0</v>
      </c>
      <c r="F390" s="347" t="s">
        <v>1244</v>
      </c>
      <c r="G390" s="739"/>
      <c r="H390" s="1110" t="s">
        <v>1251</v>
      </c>
      <c r="I390" s="1101"/>
      <c r="J390" s="910"/>
      <c r="K390" s="692"/>
      <c r="L390" s="692" t="s">
        <v>1241</v>
      </c>
      <c r="M390" s="692" t="s">
        <v>1135</v>
      </c>
    </row>
    <row r="391" spans="1:13" ht="18.75" x14ac:dyDescent="0.25">
      <c r="A391" s="692" t="s">
        <v>1241</v>
      </c>
      <c r="B391" s="692"/>
      <c r="C391" s="374"/>
      <c r="D391" s="346" t="s">
        <v>1252</v>
      </c>
      <c r="E391" s="760">
        <v>0</v>
      </c>
      <c r="F391" s="1100"/>
      <c r="G391" s="740"/>
      <c r="H391" s="709"/>
      <c r="I391" s="638"/>
      <c r="J391" s="910"/>
      <c r="K391" s="692"/>
      <c r="L391" s="692" t="s">
        <v>1241</v>
      </c>
      <c r="M391" s="692" t="s">
        <v>1050</v>
      </c>
    </row>
    <row r="392" spans="1:13" ht="18.75" x14ac:dyDescent="0.3">
      <c r="A392" s="692" t="s">
        <v>1241</v>
      </c>
      <c r="B392" s="767" t="s">
        <v>1253</v>
      </c>
      <c r="C392" s="767"/>
      <c r="D392" s="1260" t="s">
        <v>1254</v>
      </c>
      <c r="E392" s="760">
        <v>0</v>
      </c>
      <c r="F392" s="1100" t="s">
        <v>371</v>
      </c>
      <c r="G392" s="740"/>
      <c r="H392" s="709"/>
      <c r="I392" s="638"/>
      <c r="J392" s="910"/>
      <c r="K392" s="692"/>
      <c r="L392" s="692" t="s">
        <v>1241</v>
      </c>
      <c r="M392" s="692" t="s">
        <v>1053</v>
      </c>
    </row>
    <row r="393" spans="1:13" ht="18.75" x14ac:dyDescent="0.25">
      <c r="A393" s="692" t="s">
        <v>1241</v>
      </c>
      <c r="B393" s="692"/>
      <c r="C393" s="692"/>
      <c r="D393" s="692"/>
      <c r="E393" s="692"/>
      <c r="G393" s="692"/>
      <c r="H393" s="709"/>
      <c r="I393" s="638"/>
      <c r="J393" s="910"/>
      <c r="K393" s="692"/>
      <c r="L393" s="692" t="s">
        <v>1241</v>
      </c>
      <c r="M393" s="692" t="s">
        <v>1056</v>
      </c>
    </row>
    <row r="394" spans="1:13" ht="18.75" x14ac:dyDescent="0.25">
      <c r="A394" s="692" t="s">
        <v>1241</v>
      </c>
      <c r="B394" s="692"/>
      <c r="C394" s="692"/>
      <c r="D394" s="692"/>
      <c r="E394" s="692"/>
      <c r="G394" s="692"/>
      <c r="H394" s="709"/>
      <c r="I394" s="709"/>
      <c r="J394" s="910"/>
      <c r="K394" s="692"/>
      <c r="L394" s="692" t="s">
        <v>1241</v>
      </c>
      <c r="M394" s="692" t="s">
        <v>1059</v>
      </c>
    </row>
    <row r="395" spans="1:13" ht="18.75" x14ac:dyDescent="0.3">
      <c r="A395" s="692" t="s">
        <v>1241</v>
      </c>
      <c r="B395" s="692"/>
      <c r="C395" s="371"/>
      <c r="D395" s="4" t="s">
        <v>201</v>
      </c>
      <c r="E395" s="692"/>
      <c r="G395" s="692"/>
      <c r="H395" s="709"/>
      <c r="I395" s="709"/>
      <c r="J395" s="910"/>
      <c r="K395" s="692"/>
      <c r="L395" s="692" t="s">
        <v>1241</v>
      </c>
      <c r="M395" s="692" t="s">
        <v>1063</v>
      </c>
    </row>
    <row r="396" spans="1:13" ht="18.75" x14ac:dyDescent="0.3">
      <c r="A396" s="692" t="s">
        <v>1241</v>
      </c>
      <c r="B396" s="692"/>
      <c r="C396" s="371"/>
      <c r="D396" s="4" t="s">
        <v>202</v>
      </c>
      <c r="E396" s="692"/>
      <c r="G396" s="692"/>
      <c r="H396" s="709"/>
      <c r="I396" s="709"/>
      <c r="J396" s="910"/>
      <c r="K396" s="692"/>
      <c r="L396" s="692" t="s">
        <v>1241</v>
      </c>
      <c r="M396" s="692" t="s">
        <v>1066</v>
      </c>
    </row>
    <row r="397" spans="1:13" ht="18.75" x14ac:dyDescent="0.25">
      <c r="A397" s="692" t="s">
        <v>1241</v>
      </c>
      <c r="B397" s="692"/>
      <c r="C397" s="692"/>
      <c r="D397" s="692"/>
      <c r="E397" s="692"/>
      <c r="G397" s="692"/>
      <c r="H397" s="709"/>
      <c r="I397" s="709"/>
      <c r="J397" s="910"/>
      <c r="K397" s="692"/>
      <c r="L397" s="692" t="s">
        <v>1241</v>
      </c>
      <c r="M397" s="692" t="s">
        <v>1069</v>
      </c>
    </row>
    <row r="398" spans="1:13" ht="18.75" x14ac:dyDescent="0.25">
      <c r="A398" s="692" t="s">
        <v>1241</v>
      </c>
      <c r="B398" s="692"/>
      <c r="C398" s="692"/>
      <c r="D398" s="692"/>
      <c r="E398" s="692"/>
      <c r="G398" s="692"/>
      <c r="H398" s="709"/>
      <c r="I398" s="709"/>
      <c r="J398" s="910"/>
      <c r="K398" s="692"/>
      <c r="L398" s="692" t="s">
        <v>1241</v>
      </c>
      <c r="M398" s="692" t="s">
        <v>1072</v>
      </c>
    </row>
    <row r="399" spans="1:13" ht="18.75" x14ac:dyDescent="0.25">
      <c r="A399" s="692" t="s">
        <v>1241</v>
      </c>
      <c r="B399" s="692"/>
      <c r="C399" s="692"/>
      <c r="D399" s="692"/>
      <c r="E399" s="692"/>
      <c r="G399" s="692"/>
      <c r="H399" s="709"/>
      <c r="I399" s="709"/>
      <c r="J399" s="910"/>
      <c r="K399" s="692"/>
      <c r="L399" s="692" t="s">
        <v>1241</v>
      </c>
      <c r="M399" s="692" t="s">
        <v>1074</v>
      </c>
    </row>
    <row r="400" spans="1:13" ht="18.75" x14ac:dyDescent="0.25">
      <c r="A400" s="692" t="s">
        <v>1241</v>
      </c>
      <c r="B400" s="692"/>
      <c r="C400" s="692"/>
      <c r="D400" s="692"/>
      <c r="E400" s="692"/>
      <c r="G400" s="692"/>
      <c r="H400" s="709"/>
      <c r="I400" s="709"/>
      <c r="J400" s="910"/>
      <c r="K400" s="692"/>
      <c r="L400" s="692" t="s">
        <v>1241</v>
      </c>
      <c r="M400" s="692" t="s">
        <v>1076</v>
      </c>
    </row>
    <row r="401" spans="1:13" ht="18.75" x14ac:dyDescent="0.25">
      <c r="A401" s="692" t="s">
        <v>1241</v>
      </c>
      <c r="B401" s="692"/>
      <c r="C401" s="692"/>
      <c r="D401" s="692"/>
      <c r="E401" s="692"/>
      <c r="G401" s="692"/>
      <c r="H401" s="709"/>
      <c r="I401" s="709"/>
      <c r="J401" s="910"/>
      <c r="K401" s="692"/>
      <c r="L401" s="692" t="s">
        <v>1241</v>
      </c>
      <c r="M401" s="692" t="s">
        <v>1078</v>
      </c>
    </row>
    <row r="402" spans="1:13" ht="18.75" x14ac:dyDescent="0.25">
      <c r="A402" s="692" t="s">
        <v>1241</v>
      </c>
      <c r="B402" s="692"/>
      <c r="C402" s="692"/>
      <c r="D402" s="692"/>
      <c r="E402" s="692"/>
      <c r="G402" s="692"/>
      <c r="H402" s="709"/>
      <c r="I402" s="709"/>
      <c r="J402" s="910"/>
      <c r="K402" s="692"/>
      <c r="L402" s="692" t="s">
        <v>1241</v>
      </c>
      <c r="M402" s="692" t="s">
        <v>1080</v>
      </c>
    </row>
    <row r="403" spans="1:13" ht="18.75" x14ac:dyDescent="0.25">
      <c r="A403" s="692" t="s">
        <v>1241</v>
      </c>
      <c r="B403" s="692"/>
      <c r="C403" s="692"/>
      <c r="D403" s="692"/>
      <c r="E403" s="692"/>
      <c r="G403" s="692"/>
      <c r="H403" s="709"/>
      <c r="I403" s="709"/>
      <c r="J403" s="910"/>
      <c r="K403" s="692"/>
      <c r="L403" s="692" t="s">
        <v>1241</v>
      </c>
      <c r="M403" s="692" t="s">
        <v>1082</v>
      </c>
    </row>
    <row r="404" spans="1:13" ht="18.75" x14ac:dyDescent="0.25">
      <c r="A404" s="692" t="s">
        <v>1241</v>
      </c>
      <c r="B404" s="692"/>
      <c r="C404" s="692"/>
      <c r="D404" s="692"/>
      <c r="E404" s="692"/>
      <c r="G404" s="692"/>
      <c r="H404" s="692"/>
      <c r="I404" s="692"/>
      <c r="J404" s="910"/>
      <c r="K404" s="692"/>
      <c r="L404" s="692" t="s">
        <v>1241</v>
      </c>
      <c r="M404" s="692" t="s">
        <v>1084</v>
      </c>
    </row>
    <row r="405" spans="1:13" ht="18.75" x14ac:dyDescent="0.25">
      <c r="A405" s="692" t="s">
        <v>1241</v>
      </c>
      <c r="B405" s="692"/>
      <c r="C405" s="692"/>
      <c r="D405" s="692"/>
      <c r="E405" s="692"/>
      <c r="G405" s="692"/>
      <c r="H405" s="692"/>
      <c r="I405" s="692"/>
      <c r="J405" s="910"/>
      <c r="K405" s="692"/>
      <c r="L405" s="692" t="s">
        <v>1241</v>
      </c>
      <c r="M405" s="692" t="s">
        <v>1086</v>
      </c>
    </row>
    <row r="406" spans="1:13" ht="18.75" x14ac:dyDescent="0.25">
      <c r="A406" s="692" t="s">
        <v>1241</v>
      </c>
      <c r="B406" s="692"/>
      <c r="C406" s="692"/>
      <c r="D406" s="692"/>
      <c r="E406" s="692"/>
      <c r="G406" s="692"/>
      <c r="H406" s="692"/>
      <c r="I406" s="692"/>
      <c r="J406" s="910"/>
      <c r="K406" s="692"/>
      <c r="L406" s="692" t="s">
        <v>1241</v>
      </c>
      <c r="M406" s="692" t="s">
        <v>1088</v>
      </c>
    </row>
    <row r="407" spans="1:13" ht="18.75" x14ac:dyDescent="0.25">
      <c r="A407" s="692" t="s">
        <v>1241</v>
      </c>
      <c r="B407" s="692"/>
      <c r="C407" s="692"/>
      <c r="D407" s="692"/>
      <c r="E407" s="692"/>
      <c r="G407" s="692"/>
      <c r="H407" s="692"/>
      <c r="I407" s="692"/>
      <c r="J407" s="910"/>
      <c r="K407" s="692"/>
      <c r="L407" s="692" t="s">
        <v>1241</v>
      </c>
      <c r="M407" s="692" t="s">
        <v>1090</v>
      </c>
    </row>
    <row r="408" spans="1:13" ht="18.75" x14ac:dyDescent="0.25">
      <c r="A408" s="692" t="s">
        <v>1241</v>
      </c>
      <c r="B408" s="692"/>
      <c r="C408" s="692"/>
      <c r="D408" s="692"/>
      <c r="E408" s="692"/>
      <c r="G408" s="692"/>
      <c r="H408" s="692"/>
      <c r="I408" s="692"/>
      <c r="J408" s="910"/>
      <c r="K408" s="692"/>
      <c r="L408" s="692" t="s">
        <v>1241</v>
      </c>
      <c r="M408" s="692" t="s">
        <v>1093</v>
      </c>
    </row>
    <row r="409" spans="1:13" ht="18.75" x14ac:dyDescent="0.25">
      <c r="A409" s="692" t="s">
        <v>1241</v>
      </c>
      <c r="B409" s="692"/>
      <c r="C409" s="692"/>
      <c r="D409" s="692"/>
      <c r="E409" s="692"/>
      <c r="G409" s="692"/>
      <c r="H409" s="692"/>
      <c r="I409" s="692"/>
      <c r="J409" s="633"/>
      <c r="K409" s="692"/>
      <c r="L409" s="692" t="s">
        <v>1241</v>
      </c>
      <c r="M409" s="692" t="s">
        <v>1095</v>
      </c>
    </row>
    <row r="410" spans="1:13" ht="18.75" x14ac:dyDescent="0.25">
      <c r="A410" s="692" t="s">
        <v>1241</v>
      </c>
      <c r="B410" s="692"/>
      <c r="C410" s="692"/>
      <c r="D410" s="692"/>
      <c r="E410" s="692"/>
      <c r="G410" s="692"/>
      <c r="H410" s="692"/>
      <c r="I410" s="692"/>
      <c r="J410" s="633"/>
      <c r="K410" s="692"/>
      <c r="L410" s="692" t="s">
        <v>1241</v>
      </c>
      <c r="M410" s="692" t="s">
        <v>1097</v>
      </c>
    </row>
    <row r="411" spans="1:13" ht="18.75" x14ac:dyDescent="0.25">
      <c r="A411" s="692" t="s">
        <v>1241</v>
      </c>
      <c r="B411" s="692"/>
      <c r="C411" s="692"/>
      <c r="D411" s="692"/>
      <c r="E411" s="692"/>
      <c r="G411" s="692"/>
      <c r="H411" s="692"/>
      <c r="I411" s="692"/>
      <c r="J411" s="633"/>
      <c r="K411" s="692"/>
      <c r="L411" s="692" t="s">
        <v>1241</v>
      </c>
      <c r="M411" s="692" t="s">
        <v>1099</v>
      </c>
    </row>
    <row r="412" spans="1:13" ht="18.75" x14ac:dyDescent="0.25">
      <c r="A412" s="692" t="s">
        <v>1241</v>
      </c>
      <c r="B412" s="692"/>
      <c r="C412" s="692"/>
      <c r="D412" s="692"/>
      <c r="E412" s="692"/>
      <c r="G412" s="692"/>
      <c r="H412" s="692"/>
      <c r="I412" s="692"/>
      <c r="J412" s="633"/>
      <c r="K412" s="692"/>
      <c r="L412" s="692" t="s">
        <v>1241</v>
      </c>
      <c r="M412" s="692" t="s">
        <v>1101</v>
      </c>
    </row>
    <row r="413" spans="1:13" ht="18.75" x14ac:dyDescent="0.25">
      <c r="A413" s="692" t="s">
        <v>1241</v>
      </c>
      <c r="B413" s="692"/>
      <c r="C413" s="692"/>
      <c r="D413" s="692"/>
      <c r="E413" s="692"/>
      <c r="G413" s="692"/>
      <c r="H413" s="692"/>
      <c r="I413" s="692"/>
      <c r="J413" s="633"/>
      <c r="K413" s="692"/>
      <c r="L413" s="692" t="s">
        <v>1241</v>
      </c>
      <c r="M413" s="692" t="s">
        <v>1103</v>
      </c>
    </row>
    <row r="414" spans="1:13" ht="18.75" x14ac:dyDescent="0.25">
      <c r="A414" s="692" t="s">
        <v>1241</v>
      </c>
      <c r="B414" s="692"/>
      <c r="C414" s="692"/>
      <c r="D414" s="692"/>
      <c r="E414" s="692"/>
      <c r="G414" s="692"/>
      <c r="H414" s="692"/>
      <c r="I414" s="692"/>
      <c r="J414" s="633"/>
      <c r="K414" s="692"/>
      <c r="L414" s="692" t="s">
        <v>1241</v>
      </c>
      <c r="M414" s="692" t="s">
        <v>1105</v>
      </c>
    </row>
    <row r="415" spans="1:13" ht="18.75" x14ac:dyDescent="0.25">
      <c r="A415" s="692" t="s">
        <v>1241</v>
      </c>
      <c r="B415" s="692"/>
      <c r="C415" s="692"/>
      <c r="D415" s="692"/>
      <c r="E415" s="692"/>
      <c r="G415" s="692"/>
      <c r="H415" s="692"/>
      <c r="I415" s="692"/>
      <c r="J415" s="633"/>
      <c r="K415" s="692"/>
      <c r="L415" s="692" t="s">
        <v>1241</v>
      </c>
      <c r="M415" s="692" t="s">
        <v>1107</v>
      </c>
    </row>
    <row r="416" spans="1:13" ht="18.75" x14ac:dyDescent="0.25">
      <c r="A416" s="692" t="s">
        <v>1241</v>
      </c>
      <c r="B416" s="692"/>
      <c r="C416" s="692"/>
      <c r="D416" s="692"/>
      <c r="E416" s="692"/>
      <c r="G416" s="692"/>
      <c r="H416" s="692"/>
      <c r="I416" s="692"/>
      <c r="J416" s="633"/>
      <c r="K416" s="692"/>
      <c r="L416" s="692" t="s">
        <v>1241</v>
      </c>
      <c r="M416" s="692" t="s">
        <v>1109</v>
      </c>
    </row>
    <row r="417" spans="1:13" ht="18.75" x14ac:dyDescent="0.25">
      <c r="A417" s="692" t="s">
        <v>1241</v>
      </c>
      <c r="B417" s="692"/>
      <c r="C417" s="692"/>
      <c r="D417" s="692"/>
      <c r="E417" s="692"/>
      <c r="G417" s="692"/>
      <c r="H417" s="692"/>
      <c r="I417" s="692"/>
      <c r="J417" s="633"/>
      <c r="K417" s="692"/>
      <c r="L417" s="692" t="s">
        <v>1241</v>
      </c>
      <c r="M417" s="692" t="s">
        <v>1255</v>
      </c>
    </row>
    <row r="418" spans="1:13" ht="18.75" x14ac:dyDescent="0.25">
      <c r="A418" s="692" t="s">
        <v>1241</v>
      </c>
      <c r="B418" s="692"/>
      <c r="C418" s="692"/>
      <c r="D418" s="692"/>
      <c r="E418" s="692"/>
      <c r="G418" s="692"/>
      <c r="H418" s="692"/>
      <c r="I418" s="692"/>
      <c r="J418" s="633"/>
      <c r="K418" s="692"/>
      <c r="L418" s="692" t="s">
        <v>1241</v>
      </c>
      <c r="M418" s="692" t="s">
        <v>1211</v>
      </c>
    </row>
    <row r="419" spans="1:13" ht="18.75" x14ac:dyDescent="0.25">
      <c r="A419" s="692" t="s">
        <v>1241</v>
      </c>
      <c r="B419" s="692"/>
      <c r="C419" s="692"/>
      <c r="D419" s="692"/>
      <c r="E419" s="692"/>
      <c r="G419" s="692"/>
      <c r="H419" s="692"/>
      <c r="I419" s="692"/>
      <c r="J419" s="633"/>
      <c r="K419" s="692"/>
      <c r="L419" s="692" t="s">
        <v>1241</v>
      </c>
      <c r="M419" s="692" t="s">
        <v>1256</v>
      </c>
    </row>
    <row r="420" spans="1:13" ht="18.75" x14ac:dyDescent="0.25">
      <c r="A420" s="692" t="s">
        <v>1241</v>
      </c>
      <c r="B420" s="692"/>
      <c r="C420" s="692"/>
      <c r="D420" s="692"/>
      <c r="E420" s="692"/>
      <c r="G420" s="692"/>
      <c r="H420" s="692"/>
      <c r="I420" s="692"/>
      <c r="J420" s="633"/>
      <c r="K420" s="692"/>
      <c r="L420" s="692" t="s">
        <v>1241</v>
      </c>
      <c r="M420" s="692" t="s">
        <v>1257</v>
      </c>
    </row>
    <row r="421" spans="1:13" ht="18.75" x14ac:dyDescent="0.25">
      <c r="A421" s="692" t="s">
        <v>1241</v>
      </c>
      <c r="B421" s="692"/>
      <c r="C421" s="692"/>
      <c r="D421" s="692"/>
      <c r="E421" s="692"/>
      <c r="G421" s="692"/>
      <c r="H421" s="692"/>
      <c r="I421" s="692"/>
      <c r="J421" s="633"/>
      <c r="K421" s="692"/>
      <c r="L421" s="692" t="s">
        <v>1241</v>
      </c>
      <c r="M421" s="692" t="s">
        <v>1213</v>
      </c>
    </row>
    <row r="422" spans="1:13" ht="18.75" x14ac:dyDescent="0.25">
      <c r="A422" s="692" t="s">
        <v>1241</v>
      </c>
      <c r="B422" s="692"/>
      <c r="C422" s="692"/>
      <c r="D422" s="692"/>
      <c r="E422" s="692"/>
      <c r="G422" s="692"/>
      <c r="H422" s="692"/>
      <c r="I422" s="692"/>
      <c r="J422" s="633"/>
      <c r="K422" s="692"/>
      <c r="L422" s="692" t="s">
        <v>1241</v>
      </c>
      <c r="M422" s="692" t="s">
        <v>1215</v>
      </c>
    </row>
    <row r="423" spans="1:13" ht="18.75" x14ac:dyDescent="0.25">
      <c r="A423" s="692" t="s">
        <v>1241</v>
      </c>
      <c r="B423" s="692"/>
      <c r="C423" s="692"/>
      <c r="D423" s="692"/>
      <c r="E423" s="692"/>
      <c r="G423" s="692"/>
      <c r="H423" s="692"/>
      <c r="I423" s="692"/>
      <c r="J423" s="633"/>
      <c r="K423" s="692"/>
      <c r="L423" s="692" t="s">
        <v>1241</v>
      </c>
      <c r="M423" s="692" t="s">
        <v>1258</v>
      </c>
    </row>
    <row r="424" spans="1:13" ht="18.75" x14ac:dyDescent="0.25">
      <c r="A424" s="692" t="s">
        <v>1241</v>
      </c>
      <c r="B424" s="692"/>
      <c r="C424" s="692"/>
      <c r="D424" s="692"/>
      <c r="E424" s="692"/>
      <c r="G424" s="692"/>
      <c r="H424" s="692"/>
      <c r="I424" s="692"/>
      <c r="J424" s="633"/>
      <c r="K424" s="692"/>
      <c r="L424" s="692" t="s">
        <v>1241</v>
      </c>
      <c r="M424" s="692" t="s">
        <v>1218</v>
      </c>
    </row>
    <row r="425" spans="1:13" ht="18.75" x14ac:dyDescent="0.25">
      <c r="A425" s="692" t="s">
        <v>1241</v>
      </c>
      <c r="B425" s="692"/>
      <c r="C425" s="692"/>
      <c r="D425" s="692"/>
      <c r="E425" s="692"/>
      <c r="G425" s="692"/>
      <c r="H425" s="692"/>
      <c r="I425" s="692"/>
      <c r="J425" s="633"/>
      <c r="K425" s="692"/>
      <c r="L425" s="692" t="s">
        <v>1241</v>
      </c>
      <c r="M425" s="692" t="s">
        <v>1220</v>
      </c>
    </row>
    <row r="426" spans="1:13" ht="18.75" x14ac:dyDescent="0.25">
      <c r="A426" s="692" t="s">
        <v>1241</v>
      </c>
      <c r="B426" s="692"/>
      <c r="C426" s="692"/>
      <c r="D426" s="692"/>
      <c r="E426" s="692"/>
      <c r="G426" s="692"/>
      <c r="H426" s="692"/>
      <c r="I426" s="692"/>
      <c r="J426" s="633"/>
      <c r="K426" s="692"/>
      <c r="L426" s="692" t="s">
        <v>1241</v>
      </c>
      <c r="M426" s="692" t="s">
        <v>1222</v>
      </c>
    </row>
    <row r="427" spans="1:13" ht="18.75" x14ac:dyDescent="0.25">
      <c r="A427" s="692" t="s">
        <v>1241</v>
      </c>
      <c r="B427" s="692"/>
      <c r="C427" s="692"/>
      <c r="D427" s="692"/>
      <c r="E427" s="692"/>
      <c r="F427" s="692"/>
      <c r="G427" s="692"/>
      <c r="H427" s="692"/>
      <c r="I427" s="692"/>
      <c r="J427" s="633"/>
      <c r="K427" s="692"/>
      <c r="L427" s="692" t="s">
        <v>1241</v>
      </c>
      <c r="M427" s="692" t="s">
        <v>1224</v>
      </c>
    </row>
    <row r="428" spans="1:13" ht="18.75" x14ac:dyDescent="0.25">
      <c r="A428" s="692" t="s">
        <v>1241</v>
      </c>
      <c r="B428" s="692"/>
      <c r="C428" s="692"/>
      <c r="D428" s="692"/>
      <c r="E428" s="692"/>
      <c r="F428" s="692"/>
      <c r="G428" s="692"/>
      <c r="H428" s="692"/>
      <c r="I428" s="692"/>
      <c r="J428" s="633"/>
      <c r="K428" s="692"/>
      <c r="L428" s="692" t="s">
        <v>1241</v>
      </c>
      <c r="M428" s="692" t="s">
        <v>1226</v>
      </c>
    </row>
    <row r="429" spans="1:13" ht="18.75" x14ac:dyDescent="0.25">
      <c r="A429" s="692" t="s">
        <v>1241</v>
      </c>
      <c r="B429" s="692"/>
      <c r="C429" s="692"/>
      <c r="D429" s="692"/>
      <c r="E429" s="692"/>
      <c r="F429" s="692"/>
      <c r="G429" s="692"/>
      <c r="H429" s="692"/>
      <c r="I429" s="692"/>
      <c r="J429" s="633"/>
      <c r="K429" s="692"/>
      <c r="L429" s="692" t="s">
        <v>1241</v>
      </c>
      <c r="M429" s="692" t="s">
        <v>1201</v>
      </c>
    </row>
    <row r="430" spans="1:13" ht="18.75" x14ac:dyDescent="0.25">
      <c r="A430" s="692" t="s">
        <v>1241</v>
      </c>
      <c r="B430" s="692"/>
      <c r="C430" s="692"/>
      <c r="D430" s="692"/>
      <c r="E430" s="692"/>
      <c r="G430" s="692"/>
      <c r="H430" s="692"/>
      <c r="I430" s="692"/>
      <c r="J430" s="633"/>
      <c r="K430" s="692"/>
      <c r="L430" s="692" t="s">
        <v>1241</v>
      </c>
      <c r="M430" s="692" t="s">
        <v>1172</v>
      </c>
    </row>
    <row r="431" spans="1:13" ht="18.75" x14ac:dyDescent="0.25">
      <c r="A431" s="692" t="s">
        <v>1241</v>
      </c>
      <c r="B431" s="692"/>
      <c r="C431" s="692"/>
      <c r="D431" s="692"/>
      <c r="E431" s="692"/>
      <c r="F431" s="692"/>
      <c r="G431" s="692"/>
      <c r="H431" s="692"/>
      <c r="I431" s="692"/>
      <c r="J431" s="633"/>
      <c r="K431" s="692"/>
      <c r="L431" s="692" t="s">
        <v>1241</v>
      </c>
      <c r="M431" s="692" t="s">
        <v>1175</v>
      </c>
    </row>
    <row r="432" spans="1:13" ht="18.75" x14ac:dyDescent="0.25">
      <c r="A432" s="692" t="s">
        <v>1241</v>
      </c>
      <c r="B432" s="692"/>
      <c r="C432" s="692"/>
      <c r="D432" s="692"/>
      <c r="E432" s="692"/>
      <c r="G432" s="692"/>
      <c r="H432" s="692"/>
      <c r="I432" s="692"/>
      <c r="J432" s="633"/>
      <c r="K432" s="692"/>
      <c r="L432" s="692" t="s">
        <v>1241</v>
      </c>
      <c r="M432" s="692" t="s">
        <v>1177</v>
      </c>
    </row>
    <row r="433" spans="1:13" ht="18.75" x14ac:dyDescent="0.25">
      <c r="A433" s="692" t="s">
        <v>1241</v>
      </c>
      <c r="B433" s="692"/>
      <c r="C433" s="692"/>
      <c r="D433" s="692"/>
      <c r="E433" s="692"/>
      <c r="G433" s="692"/>
      <c r="H433" s="692"/>
      <c r="I433" s="692"/>
      <c r="J433" s="633"/>
      <c r="K433" s="692"/>
      <c r="L433" s="692" t="s">
        <v>1241</v>
      </c>
      <c r="M433" s="692" t="s">
        <v>1180</v>
      </c>
    </row>
    <row r="434" spans="1:13" s="692" customFormat="1" ht="18.75" x14ac:dyDescent="0.25">
      <c r="F434" s="450"/>
      <c r="J434" s="633"/>
    </row>
    <row r="435" spans="1:13" s="692" customFormat="1" ht="18.75" x14ac:dyDescent="0.25">
      <c r="F435" s="450"/>
      <c r="J435" s="633"/>
    </row>
    <row r="436" spans="1:13" s="607" customFormat="1" ht="18.75" x14ac:dyDescent="0.25">
      <c r="A436" s="692" t="s">
        <v>1241</v>
      </c>
      <c r="B436" s="692"/>
      <c r="C436" s="692"/>
      <c r="D436" s="692"/>
      <c r="E436" s="692"/>
      <c r="F436" s="450"/>
      <c r="G436" s="692"/>
      <c r="H436" s="692"/>
      <c r="I436" s="692"/>
      <c r="J436" s="633"/>
      <c r="K436" s="692"/>
      <c r="L436" s="692" t="s">
        <v>1241</v>
      </c>
      <c r="M436" s="692" t="s">
        <v>1259</v>
      </c>
    </row>
    <row r="437" spans="1:13" ht="18.75" x14ac:dyDescent="0.25">
      <c r="A437" s="692" t="s">
        <v>1241</v>
      </c>
      <c r="B437" s="692"/>
      <c r="C437" s="692"/>
      <c r="D437" s="692"/>
      <c r="E437" s="692"/>
      <c r="G437" s="692"/>
      <c r="H437" s="692"/>
      <c r="I437" s="692"/>
      <c r="J437" s="633"/>
      <c r="K437" s="692"/>
      <c r="L437" s="692" t="s">
        <v>1241</v>
      </c>
      <c r="M437" s="692" t="s">
        <v>1260</v>
      </c>
    </row>
    <row r="438" spans="1:13" s="692" customFormat="1" ht="18.75" x14ac:dyDescent="0.25">
      <c r="F438" s="450"/>
      <c r="J438" s="633"/>
    </row>
    <row r="439" spans="1:13" ht="18.75" x14ac:dyDescent="0.25">
      <c r="A439" s="692" t="s">
        <v>1241</v>
      </c>
      <c r="B439" s="692"/>
      <c r="C439" s="692"/>
      <c r="D439" s="692"/>
      <c r="E439" s="692"/>
      <c r="F439" s="692"/>
      <c r="G439" s="692"/>
      <c r="H439" s="692"/>
      <c r="I439" s="692"/>
      <c r="J439" s="633"/>
      <c r="K439" s="692"/>
      <c r="L439" s="692" t="s">
        <v>1241</v>
      </c>
      <c r="M439" s="692" t="s">
        <v>1261</v>
      </c>
    </row>
    <row r="440" spans="1:13" x14ac:dyDescent="0.25">
      <c r="A440" s="692" t="s">
        <v>1241</v>
      </c>
      <c r="B440" s="692"/>
      <c r="C440" s="692"/>
      <c r="D440" s="692"/>
      <c r="E440" s="692"/>
      <c r="F440" s="692"/>
      <c r="G440" s="692"/>
      <c r="H440" s="692"/>
      <c r="I440" s="692"/>
      <c r="J440" s="692"/>
      <c r="K440" s="692"/>
      <c r="L440" s="692" t="s">
        <v>1241</v>
      </c>
      <c r="M440" s="692" t="s">
        <v>1114</v>
      </c>
    </row>
    <row r="441" spans="1:13" x14ac:dyDescent="0.25">
      <c r="A441" s="692" t="s">
        <v>1241</v>
      </c>
      <c r="B441" s="692"/>
      <c r="C441" s="692"/>
      <c r="D441" s="692"/>
      <c r="E441" s="692"/>
      <c r="F441" s="692"/>
      <c r="G441" s="692"/>
      <c r="H441" s="692"/>
      <c r="I441" s="692"/>
      <c r="J441" s="692"/>
      <c r="K441" s="692"/>
      <c r="L441" s="692" t="s">
        <v>1241</v>
      </c>
      <c r="M441" s="692" t="s">
        <v>1117</v>
      </c>
    </row>
    <row r="442" spans="1:13" x14ac:dyDescent="0.25">
      <c r="A442" s="692" t="s">
        <v>1241</v>
      </c>
      <c r="B442" s="692"/>
      <c r="C442" s="692"/>
      <c r="D442" s="692"/>
      <c r="E442" s="692"/>
      <c r="G442" s="692"/>
      <c r="H442" s="692"/>
      <c r="I442" s="692"/>
      <c r="J442" s="692"/>
      <c r="K442" s="692"/>
      <c r="L442" s="692" t="s">
        <v>1241</v>
      </c>
      <c r="M442" s="692" t="s">
        <v>1232</v>
      </c>
    </row>
    <row r="443" spans="1:13" x14ac:dyDescent="0.25">
      <c r="A443" s="692" t="s">
        <v>1241</v>
      </c>
      <c r="B443" s="692"/>
      <c r="C443" s="692"/>
      <c r="D443" s="692"/>
      <c r="E443" s="692"/>
      <c r="F443" s="692"/>
      <c r="G443" s="692"/>
      <c r="H443" s="692"/>
      <c r="I443" s="692"/>
      <c r="J443" s="692"/>
      <c r="K443" s="692"/>
      <c r="L443" s="692" t="s">
        <v>1241</v>
      </c>
      <c r="M443" s="692" t="s">
        <v>1233</v>
      </c>
    </row>
    <row r="444" spans="1:13" x14ac:dyDescent="0.25">
      <c r="A444" s="692" t="s">
        <v>1241</v>
      </c>
      <c r="B444" s="692"/>
      <c r="C444" s="692"/>
      <c r="D444" s="692"/>
      <c r="E444" s="692"/>
      <c r="F444" s="692"/>
      <c r="G444" s="692"/>
      <c r="H444" s="692"/>
      <c r="I444" s="692"/>
      <c r="J444" s="692"/>
      <c r="K444" s="692"/>
      <c r="L444" s="692" t="s">
        <v>1241</v>
      </c>
      <c r="M444" s="692" t="s">
        <v>1158</v>
      </c>
    </row>
    <row r="445" spans="1:13" x14ac:dyDescent="0.25">
      <c r="A445" s="692" t="s">
        <v>1241</v>
      </c>
      <c r="B445" s="692"/>
      <c r="C445" s="692"/>
      <c r="D445" s="692"/>
      <c r="E445" s="692"/>
      <c r="F445" s="692"/>
      <c r="G445" s="692"/>
      <c r="H445" s="692"/>
      <c r="I445" s="692"/>
      <c r="J445" s="692"/>
      <c r="K445" s="692"/>
      <c r="L445" s="692" t="s">
        <v>1241</v>
      </c>
      <c r="M445" s="692" t="s">
        <v>1161</v>
      </c>
    </row>
    <row r="446" spans="1:13" x14ac:dyDescent="0.25">
      <c r="A446" s="692" t="s">
        <v>1241</v>
      </c>
      <c r="B446" s="692"/>
      <c r="C446" s="692"/>
      <c r="D446" s="692"/>
      <c r="E446" s="692"/>
      <c r="G446" s="692"/>
      <c r="H446" s="692"/>
      <c r="I446" s="692"/>
      <c r="J446" s="692"/>
      <c r="K446" s="692"/>
      <c r="L446" s="692" t="s">
        <v>1241</v>
      </c>
      <c r="M446" s="692" t="s">
        <v>1164</v>
      </c>
    </row>
    <row r="447" spans="1:13" x14ac:dyDescent="0.25">
      <c r="A447" s="692" t="s">
        <v>1241</v>
      </c>
      <c r="B447" s="692"/>
      <c r="C447" s="692"/>
      <c r="D447" s="692"/>
      <c r="E447" s="692"/>
      <c r="G447" s="692"/>
      <c r="H447" s="692"/>
      <c r="I447" s="692"/>
      <c r="J447" s="692"/>
      <c r="K447" s="692"/>
      <c r="L447" s="692" t="s">
        <v>1241</v>
      </c>
      <c r="M447" s="692" t="s">
        <v>1167</v>
      </c>
    </row>
    <row r="448" spans="1:13" x14ac:dyDescent="0.25">
      <c r="A448" s="692" t="s">
        <v>1241</v>
      </c>
      <c r="B448" s="692"/>
      <c r="C448" s="692"/>
      <c r="D448" s="692"/>
      <c r="E448" s="692"/>
      <c r="G448" s="692"/>
      <c r="H448" s="692"/>
      <c r="I448" s="692"/>
      <c r="J448" s="692"/>
      <c r="K448" s="692"/>
      <c r="L448" s="692" t="s">
        <v>1241</v>
      </c>
      <c r="M448" s="692" t="s">
        <v>1169</v>
      </c>
    </row>
    <row r="449" spans="1:13" x14ac:dyDescent="0.25">
      <c r="A449" s="692" t="s">
        <v>1241</v>
      </c>
      <c r="B449" s="692"/>
      <c r="C449" s="692"/>
      <c r="D449" s="692"/>
      <c r="E449" s="692"/>
      <c r="G449" s="692"/>
      <c r="H449" s="692"/>
      <c r="I449" s="692"/>
      <c r="J449" s="692"/>
      <c r="K449" s="692"/>
      <c r="L449" s="692" t="s">
        <v>1241</v>
      </c>
      <c r="M449" s="692" t="s">
        <v>1171</v>
      </c>
    </row>
    <row r="450" spans="1:13" x14ac:dyDescent="0.25">
      <c r="A450" s="692" t="s">
        <v>1241</v>
      </c>
      <c r="B450" s="692"/>
      <c r="C450" s="692"/>
      <c r="D450" s="692"/>
      <c r="E450" s="692"/>
      <c r="G450" s="692"/>
      <c r="H450" s="692"/>
      <c r="I450" s="692"/>
      <c r="J450" s="692"/>
      <c r="K450" s="692"/>
      <c r="L450" s="692" t="s">
        <v>1241</v>
      </c>
      <c r="M450" s="692" t="s">
        <v>998</v>
      </c>
    </row>
    <row r="451" spans="1:13" x14ac:dyDescent="0.25">
      <c r="A451" s="692" t="s">
        <v>1241</v>
      </c>
      <c r="B451" s="692"/>
      <c r="C451" s="692"/>
      <c r="D451" s="692"/>
      <c r="E451" s="692"/>
      <c r="F451" s="692"/>
      <c r="G451" s="692"/>
      <c r="H451" s="692"/>
      <c r="I451" s="692"/>
      <c r="J451" s="692"/>
      <c r="K451" s="692"/>
      <c r="L451" s="692" t="s">
        <v>1241</v>
      </c>
      <c r="M451" s="692" t="s">
        <v>1023</v>
      </c>
    </row>
    <row r="452" spans="1:13" x14ac:dyDescent="0.25">
      <c r="A452" s="692" t="s">
        <v>1241</v>
      </c>
      <c r="B452" s="692"/>
      <c r="C452" s="692"/>
      <c r="D452" s="692"/>
      <c r="E452" s="692"/>
      <c r="F452" s="692"/>
      <c r="G452" s="692"/>
      <c r="H452" s="692"/>
      <c r="I452" s="692"/>
      <c r="J452" s="692"/>
      <c r="K452" s="692"/>
      <c r="L452" s="692" t="s">
        <v>1241</v>
      </c>
      <c r="M452" s="692" t="s">
        <v>1026</v>
      </c>
    </row>
    <row r="453" spans="1:13" x14ac:dyDescent="0.25">
      <c r="A453" s="692" t="s">
        <v>1241</v>
      </c>
      <c r="B453" s="692"/>
      <c r="C453" s="692"/>
      <c r="D453" s="692"/>
      <c r="E453" s="692"/>
      <c r="F453" s="692"/>
      <c r="G453" s="692"/>
      <c r="H453" s="692"/>
      <c r="I453" s="692"/>
      <c r="J453" s="692"/>
      <c r="K453" s="692"/>
      <c r="L453" s="692" t="s">
        <v>1241</v>
      </c>
      <c r="M453" s="692" t="s">
        <v>1028</v>
      </c>
    </row>
    <row r="454" spans="1:13" s="692" customFormat="1" x14ac:dyDescent="0.25">
      <c r="A454" s="767"/>
    </row>
    <row r="455" spans="1:13" s="692" customFormat="1" x14ac:dyDescent="0.25">
      <c r="A455" s="767"/>
    </row>
    <row r="456" spans="1:13" s="692" customFormat="1" x14ac:dyDescent="0.25">
      <c r="A456" s="767"/>
    </row>
    <row r="457" spans="1:13" x14ac:dyDescent="0.25">
      <c r="A457" s="692" t="s">
        <v>1241</v>
      </c>
      <c r="B457" s="692"/>
      <c r="C457" s="692"/>
      <c r="D457" s="692"/>
      <c r="E457" s="692"/>
      <c r="F457" s="692"/>
      <c r="G457" s="692"/>
      <c r="H457" s="692"/>
      <c r="I457" s="692"/>
      <c r="J457" s="692"/>
      <c r="K457" s="692"/>
      <c r="L457" s="692" t="s">
        <v>1241</v>
      </c>
      <c r="M457" s="692" t="s">
        <v>1032</v>
      </c>
    </row>
    <row r="458" spans="1:13" s="607" customFormat="1" x14ac:dyDescent="0.25">
      <c r="A458" s="692" t="s">
        <v>1241</v>
      </c>
      <c r="B458" s="692"/>
      <c r="C458" s="692"/>
      <c r="D458" s="692"/>
      <c r="E458" s="692"/>
      <c r="F458" s="692"/>
      <c r="G458" s="692"/>
      <c r="H458" s="692"/>
      <c r="I458" s="692"/>
      <c r="J458" s="692"/>
      <c r="K458" s="692"/>
      <c r="L458" s="692"/>
      <c r="M458" s="692"/>
    </row>
    <row r="459" spans="1:13" s="692" customFormat="1" x14ac:dyDescent="0.25"/>
    <row r="460" spans="1:13" s="692" customFormat="1" x14ac:dyDescent="0.25"/>
    <row r="461" spans="1:13" x14ac:dyDescent="0.25">
      <c r="A461" s="692" t="s">
        <v>1241</v>
      </c>
      <c r="B461" s="692"/>
      <c r="C461" s="692"/>
      <c r="D461" s="692"/>
      <c r="E461" s="692"/>
      <c r="F461" s="692"/>
      <c r="G461" s="692"/>
      <c r="H461" s="692"/>
      <c r="I461" s="692"/>
      <c r="J461" s="692"/>
      <c r="K461" s="692"/>
      <c r="L461" s="692" t="s">
        <v>1241</v>
      </c>
      <c r="M461" s="692" t="s">
        <v>1113</v>
      </c>
    </row>
    <row r="462" spans="1:13" x14ac:dyDescent="0.25">
      <c r="A462" s="692" t="s">
        <v>1241</v>
      </c>
      <c r="B462" s="692"/>
      <c r="C462" s="692"/>
      <c r="D462" s="692"/>
      <c r="E462" s="692"/>
      <c r="F462" s="692"/>
      <c r="G462" s="692"/>
      <c r="H462" s="692"/>
      <c r="I462" s="692"/>
      <c r="J462" s="692"/>
      <c r="K462" s="692"/>
      <c r="L462" s="692" t="s">
        <v>1241</v>
      </c>
      <c r="M462" s="692" t="s">
        <v>942</v>
      </c>
    </row>
    <row r="463" spans="1:13" x14ac:dyDescent="0.25">
      <c r="A463" s="692" t="s">
        <v>1241</v>
      </c>
      <c r="B463" s="692"/>
      <c r="C463" s="692"/>
      <c r="D463" s="692"/>
      <c r="E463" s="692"/>
      <c r="F463" s="692"/>
      <c r="G463" s="692"/>
      <c r="H463" s="692"/>
      <c r="I463" s="692"/>
      <c r="J463" s="692"/>
      <c r="K463" s="692"/>
      <c r="L463" s="692" t="s">
        <v>1241</v>
      </c>
      <c r="M463" s="692" t="s">
        <v>954</v>
      </c>
    </row>
    <row r="464" spans="1:13" x14ac:dyDescent="0.25">
      <c r="A464" s="692" t="s">
        <v>1241</v>
      </c>
      <c r="B464" s="692"/>
      <c r="C464" s="692"/>
      <c r="D464" s="692"/>
      <c r="E464" s="692"/>
      <c r="F464" s="692"/>
      <c r="G464" s="692"/>
      <c r="H464" s="692"/>
      <c r="I464" s="692"/>
      <c r="J464" s="692"/>
      <c r="K464" s="692"/>
      <c r="L464" s="692" t="s">
        <v>1241</v>
      </c>
      <c r="M464" s="692" t="s">
        <v>1262</v>
      </c>
    </row>
    <row r="465" spans="1:13" x14ac:dyDescent="0.25">
      <c r="A465" s="692" t="s">
        <v>1241</v>
      </c>
      <c r="B465" s="692"/>
      <c r="C465" s="692"/>
      <c r="D465" s="692"/>
      <c r="E465" s="692"/>
      <c r="F465" s="692"/>
      <c r="G465" s="692"/>
      <c r="H465" s="692"/>
      <c r="I465" s="692"/>
      <c r="J465" s="692"/>
      <c r="K465" s="692"/>
      <c r="L465" s="692" t="s">
        <v>1241</v>
      </c>
      <c r="M465" s="692" t="s">
        <v>1263</v>
      </c>
    </row>
    <row r="466" spans="1:13" s="692" customFormat="1" x14ac:dyDescent="0.25"/>
    <row r="467" spans="1:13" s="692" customFormat="1" x14ac:dyDescent="0.25"/>
    <row r="468" spans="1:13" s="692" customFormat="1" x14ac:dyDescent="0.25"/>
    <row r="469" spans="1:13" s="692" customFormat="1" x14ac:dyDescent="0.25"/>
    <row r="470" spans="1:13" s="692" customFormat="1" x14ac:dyDescent="0.25"/>
    <row r="471" spans="1:13" s="692" customFormat="1" x14ac:dyDescent="0.25"/>
    <row r="472" spans="1:13" s="692" customFormat="1" x14ac:dyDescent="0.25"/>
    <row r="473" spans="1:13" s="692" customFormat="1" x14ac:dyDescent="0.25"/>
    <row r="474" spans="1:13" s="692" customFormat="1" x14ac:dyDescent="0.25"/>
    <row r="475" spans="1:13" s="692" customFormat="1" x14ac:dyDescent="0.25"/>
    <row r="476" spans="1:13" s="692" customFormat="1" x14ac:dyDescent="0.25"/>
    <row r="477" spans="1:13" s="692" customFormat="1" x14ac:dyDescent="0.25"/>
    <row r="478" spans="1:13" s="692" customFormat="1" x14ac:dyDescent="0.25"/>
    <row r="479" spans="1:13" s="692" customFormat="1" x14ac:dyDescent="0.25"/>
    <row r="480" spans="1:13" s="692" customFormat="1" x14ac:dyDescent="0.25"/>
    <row r="481" spans="6:10" s="692" customFormat="1" x14ac:dyDescent="0.25"/>
    <row r="482" spans="6:10" s="692" customFormat="1" x14ac:dyDescent="0.25"/>
    <row r="483" spans="6:10" s="692" customFormat="1" x14ac:dyDescent="0.25"/>
    <row r="484" spans="6:10" s="692" customFormat="1" x14ac:dyDescent="0.25"/>
    <row r="485" spans="6:10" s="692" customFormat="1" x14ac:dyDescent="0.25"/>
    <row r="486" spans="6:10" s="692" customFormat="1" x14ac:dyDescent="0.25"/>
    <row r="487" spans="6:10" s="692" customFormat="1" x14ac:dyDescent="0.25"/>
    <row r="488" spans="6:10" s="692" customFormat="1" x14ac:dyDescent="0.25"/>
    <row r="489" spans="6:10" s="692" customFormat="1" x14ac:dyDescent="0.25"/>
    <row r="490" spans="6:10" s="692" customFormat="1" ht="18.75" x14ac:dyDescent="0.25">
      <c r="J490" s="633"/>
    </row>
    <row r="491" spans="6:10" s="692" customFormat="1" ht="18.75" x14ac:dyDescent="0.25">
      <c r="F491" s="450"/>
      <c r="J491" s="633"/>
    </row>
    <row r="492" spans="6:10" s="692" customFormat="1" ht="18.75" x14ac:dyDescent="0.25">
      <c r="F492" s="450"/>
      <c r="J492" s="633"/>
    </row>
    <row r="493" spans="6:10" s="692" customFormat="1" ht="18.75" x14ac:dyDescent="0.25">
      <c r="F493" s="450"/>
      <c r="J493" s="633"/>
    </row>
    <row r="494" spans="6:10" s="692" customFormat="1" ht="18.75" x14ac:dyDescent="0.25">
      <c r="F494" s="450"/>
      <c r="J494" s="633"/>
    </row>
    <row r="495" spans="6:10" s="692" customFormat="1" ht="18.75" x14ac:dyDescent="0.25">
      <c r="F495" s="450"/>
      <c r="J495" s="633"/>
    </row>
    <row r="496" spans="6:10" s="692" customFormat="1" ht="18.75" x14ac:dyDescent="0.25">
      <c r="F496" s="450"/>
      <c r="J496" s="737"/>
    </row>
    <row r="497" spans="1:13" s="692" customFormat="1" ht="19.5" customHeight="1" x14ac:dyDescent="0.25">
      <c r="F497" s="450"/>
      <c r="J497" s="737"/>
    </row>
    <row r="498" spans="1:13" ht="18.75" x14ac:dyDescent="0.25">
      <c r="A498" s="692" t="s">
        <v>1241</v>
      </c>
      <c r="B498" s="692"/>
      <c r="C498" s="692"/>
      <c r="D498" s="692"/>
      <c r="E498" s="692"/>
      <c r="G498" s="692"/>
      <c r="H498" s="692"/>
      <c r="I498" s="692"/>
      <c r="J498" s="737"/>
      <c r="K498" s="692"/>
      <c r="L498" s="692" t="s">
        <v>1241</v>
      </c>
      <c r="M498" s="692" t="s">
        <v>986</v>
      </c>
    </row>
    <row r="499" spans="1:13" ht="18.75" x14ac:dyDescent="0.25">
      <c r="A499" s="692" t="s">
        <v>1241</v>
      </c>
      <c r="B499" s="692"/>
      <c r="C499" s="692"/>
      <c r="D499" s="692"/>
      <c r="E499" s="692"/>
      <c r="G499" s="692"/>
      <c r="H499" s="735"/>
      <c r="I499" s="692"/>
      <c r="J499" s="737"/>
      <c r="K499" s="692"/>
      <c r="L499" s="692" t="s">
        <v>1241</v>
      </c>
      <c r="M499" s="692" t="s">
        <v>984</v>
      </c>
    </row>
    <row r="500" spans="1:13" ht="18.75" x14ac:dyDescent="0.25">
      <c r="A500" s="692" t="s">
        <v>1241</v>
      </c>
      <c r="B500" s="634"/>
      <c r="C500" s="692"/>
      <c r="D500" s="692"/>
      <c r="E500" s="692"/>
      <c r="G500" s="692"/>
      <c r="H500" s="735"/>
      <c r="I500" s="692"/>
      <c r="J500" s="737"/>
      <c r="K500" s="692"/>
      <c r="L500" s="692" t="s">
        <v>1241</v>
      </c>
      <c r="M500" s="692" t="s">
        <v>995</v>
      </c>
    </row>
    <row r="501" spans="1:13" ht="18.75" x14ac:dyDescent="0.25">
      <c r="A501" s="692" t="s">
        <v>1241</v>
      </c>
      <c r="B501" s="635"/>
      <c r="C501" s="692"/>
      <c r="D501" s="692"/>
      <c r="E501" s="692"/>
      <c r="G501" s="692"/>
      <c r="H501" s="735"/>
      <c r="I501" s="692"/>
      <c r="J501" s="737"/>
      <c r="K501" s="692"/>
      <c r="L501" s="692" t="s">
        <v>1241</v>
      </c>
      <c r="M501" s="692" t="s">
        <v>961</v>
      </c>
    </row>
    <row r="502" spans="1:13" ht="18.75" x14ac:dyDescent="0.25">
      <c r="A502" s="692" t="s">
        <v>1241</v>
      </c>
      <c r="B502" s="635"/>
      <c r="C502" s="692"/>
      <c r="D502" s="692"/>
      <c r="E502" s="692"/>
      <c r="G502" s="692"/>
      <c r="H502" s="735"/>
      <c r="I502" s="692"/>
      <c r="J502" s="633" t="s">
        <v>353</v>
      </c>
      <c r="K502" s="692"/>
      <c r="L502" s="692" t="s">
        <v>1241</v>
      </c>
      <c r="M502" s="692" t="s">
        <v>977</v>
      </c>
    </row>
    <row r="503" spans="1:13" ht="18.75" x14ac:dyDescent="0.25">
      <c r="A503" s="692" t="s">
        <v>1241</v>
      </c>
      <c r="B503" s="635"/>
      <c r="C503" s="692"/>
      <c r="D503" s="692"/>
      <c r="E503" s="692"/>
      <c r="G503" s="692"/>
      <c r="H503" s="735"/>
      <c r="I503" s="692"/>
      <c r="J503" s="633" t="s">
        <v>353</v>
      </c>
      <c r="K503" s="692"/>
      <c r="L503" s="692" t="s">
        <v>1241</v>
      </c>
      <c r="M503" s="692" t="s">
        <v>978</v>
      </c>
    </row>
    <row r="504" spans="1:13" ht="15.75" x14ac:dyDescent="0.25">
      <c r="A504" s="692" t="s">
        <v>1241</v>
      </c>
      <c r="B504" s="635"/>
      <c r="C504" s="692"/>
      <c r="D504" s="692"/>
      <c r="E504" s="692"/>
      <c r="G504" s="692"/>
      <c r="H504" s="735"/>
      <c r="I504" s="692"/>
      <c r="J504" s="374"/>
      <c r="K504" s="692"/>
      <c r="L504" s="692" t="s">
        <v>1241</v>
      </c>
      <c r="M504" s="692" t="s">
        <v>971</v>
      </c>
    </row>
    <row r="505" spans="1:13" ht="15.75" x14ac:dyDescent="0.25">
      <c r="A505" s="692" t="s">
        <v>1241</v>
      </c>
      <c r="B505" s="635"/>
      <c r="C505" s="692"/>
      <c r="D505" s="692"/>
      <c r="E505" s="692"/>
      <c r="G505" s="692"/>
      <c r="H505" s="735"/>
      <c r="I505" s="692"/>
      <c r="J505" s="374"/>
      <c r="K505" s="692"/>
      <c r="L505" s="692" t="s">
        <v>1241</v>
      </c>
      <c r="M505" s="692" t="s">
        <v>972</v>
      </c>
    </row>
    <row r="506" spans="1:13" ht="15.75" x14ac:dyDescent="0.25">
      <c r="A506" s="692" t="s">
        <v>1241</v>
      </c>
      <c r="B506" s="635"/>
      <c r="C506" s="692"/>
      <c r="D506" s="692"/>
      <c r="E506" s="692"/>
      <c r="G506" s="692"/>
      <c r="H506" s="735"/>
      <c r="I506" s="692"/>
      <c r="J506" s="374"/>
      <c r="K506" s="692"/>
      <c r="L506" s="692" t="s">
        <v>1241</v>
      </c>
      <c r="M506" s="692" t="s">
        <v>975</v>
      </c>
    </row>
    <row r="507" spans="1:13" ht="15.75" x14ac:dyDescent="0.25">
      <c r="A507" s="692" t="s">
        <v>1241</v>
      </c>
      <c r="B507" s="635"/>
      <c r="C507" s="692"/>
      <c r="D507" s="692"/>
      <c r="E507" s="692"/>
      <c r="G507" s="692"/>
      <c r="H507" s="735"/>
      <c r="I507" s="692"/>
      <c r="J507" s="692"/>
      <c r="K507" s="692"/>
      <c r="L507" s="692" t="s">
        <v>1241</v>
      </c>
      <c r="M507" s="692" t="s">
        <v>976</v>
      </c>
    </row>
    <row r="508" spans="1:13" ht="15.75" x14ac:dyDescent="0.25">
      <c r="A508" s="692" t="s">
        <v>1241</v>
      </c>
      <c r="B508" s="635"/>
      <c r="C508" s="692"/>
      <c r="D508" s="692"/>
      <c r="E508" s="692"/>
      <c r="G508" s="692"/>
      <c r="H508" s="735"/>
      <c r="I508" s="692"/>
      <c r="J508" s="692"/>
      <c r="K508" s="692"/>
      <c r="L508" s="692" t="s">
        <v>1241</v>
      </c>
      <c r="M508" s="692" t="s">
        <v>945</v>
      </c>
    </row>
    <row r="509" spans="1:13" s="607" customFormat="1" ht="15.75" x14ac:dyDescent="0.25">
      <c r="A509" s="692" t="s">
        <v>1241</v>
      </c>
      <c r="B509" s="635"/>
      <c r="C509" s="692"/>
      <c r="D509" s="692"/>
      <c r="E509" s="692"/>
      <c r="F509" s="450"/>
      <c r="G509" s="692"/>
      <c r="H509" s="735"/>
      <c r="I509" s="692"/>
      <c r="J509" s="692"/>
      <c r="K509" s="692"/>
      <c r="L509" s="692" t="s">
        <v>1241</v>
      </c>
      <c r="M509" s="692" t="s">
        <v>1017</v>
      </c>
    </row>
    <row r="510" spans="1:13" s="690" customFormat="1" ht="15.75" x14ac:dyDescent="0.25">
      <c r="A510" s="692"/>
      <c r="B510" s="635"/>
      <c r="C510" s="692"/>
      <c r="D510" s="692"/>
      <c r="E510" s="692"/>
      <c r="F510" s="450"/>
      <c r="G510" s="692"/>
      <c r="H510" s="735"/>
      <c r="I510" s="692"/>
      <c r="J510" s="692"/>
      <c r="K510" s="692"/>
      <c r="L510" s="692"/>
      <c r="M510" s="692"/>
    </row>
    <row r="511" spans="1:13" s="607" customFormat="1" ht="15.75" x14ac:dyDescent="0.25">
      <c r="A511" s="692"/>
      <c r="B511" s="635"/>
      <c r="C511" s="692"/>
      <c r="D511" s="692"/>
      <c r="E511" s="692"/>
      <c r="F511" s="450"/>
      <c r="G511" s="692"/>
      <c r="H511" s="735"/>
      <c r="I511" s="692"/>
      <c r="J511" s="692"/>
      <c r="K511" s="692"/>
      <c r="L511" s="692"/>
      <c r="M511" s="692"/>
    </row>
    <row r="512" spans="1:13" ht="15.75" x14ac:dyDescent="0.25">
      <c r="A512" s="692" t="s">
        <v>334</v>
      </c>
      <c r="B512" s="635"/>
      <c r="C512" s="692"/>
      <c r="D512" s="692"/>
      <c r="E512" s="692"/>
      <c r="G512" s="692"/>
      <c r="H512" s="735"/>
      <c r="I512" s="692"/>
      <c r="J512" s="692"/>
      <c r="K512" s="692"/>
      <c r="L512" s="692" t="s">
        <v>334</v>
      </c>
      <c r="M512" s="692"/>
    </row>
    <row r="513" spans="1:13" ht="15.75" x14ac:dyDescent="0.25">
      <c r="A513" s="692" t="s">
        <v>931</v>
      </c>
      <c r="B513" s="634"/>
      <c r="C513" s="692"/>
      <c r="D513" s="692"/>
      <c r="E513" s="692"/>
      <c r="G513" s="692"/>
      <c r="H513" s="735"/>
      <c r="I513" s="692"/>
      <c r="J513" s="692"/>
      <c r="K513" s="692"/>
      <c r="L513" s="692" t="s">
        <v>931</v>
      </c>
      <c r="M513" s="692" t="s">
        <v>1239</v>
      </c>
    </row>
    <row r="514" spans="1:13" ht="15.75" x14ac:dyDescent="0.25">
      <c r="A514" s="692" t="s">
        <v>931</v>
      </c>
      <c r="B514" s="634"/>
      <c r="C514" s="692"/>
      <c r="D514" s="692"/>
      <c r="E514" s="692"/>
      <c r="G514" s="692"/>
      <c r="H514" s="735"/>
      <c r="I514" s="692"/>
      <c r="J514" s="692"/>
      <c r="K514" s="692"/>
      <c r="L514" s="692" t="s">
        <v>931</v>
      </c>
      <c r="M514" s="692" t="s">
        <v>1242</v>
      </c>
    </row>
    <row r="515" spans="1:13" s="607" customFormat="1" ht="15.75" x14ac:dyDescent="0.25">
      <c r="A515" s="692" t="s">
        <v>931</v>
      </c>
      <c r="B515" s="634"/>
      <c r="C515" s="692"/>
      <c r="D515" s="692"/>
      <c r="E515" s="692"/>
      <c r="F515" s="450"/>
      <c r="G515" s="692"/>
      <c r="H515" s="735"/>
      <c r="I515" s="692"/>
      <c r="J515" s="692"/>
      <c r="K515" s="692"/>
      <c r="L515" s="692" t="s">
        <v>931</v>
      </c>
      <c r="M515" s="692" t="s">
        <v>1246</v>
      </c>
    </row>
    <row r="516" spans="1:13" s="607" customFormat="1" ht="15.75" x14ac:dyDescent="0.25">
      <c r="A516" s="692" t="s">
        <v>931</v>
      </c>
      <c r="B516" s="635"/>
      <c r="C516" s="692"/>
      <c r="D516" s="692"/>
      <c r="E516" s="692"/>
      <c r="F516" s="450"/>
      <c r="G516" s="692"/>
      <c r="H516" s="735"/>
      <c r="I516" s="692"/>
      <c r="J516" s="692"/>
      <c r="K516" s="692"/>
      <c r="L516" s="692" t="s">
        <v>931</v>
      </c>
      <c r="M516" s="692" t="s">
        <v>1249</v>
      </c>
    </row>
    <row r="517" spans="1:13" ht="15.75" x14ac:dyDescent="0.25">
      <c r="A517" s="692" t="s">
        <v>334</v>
      </c>
      <c r="B517" s="635"/>
      <c r="C517" s="692"/>
      <c r="D517" s="692"/>
      <c r="E517" s="692"/>
      <c r="G517" s="692"/>
      <c r="H517" s="735"/>
      <c r="I517" s="692"/>
      <c r="J517" s="692"/>
      <c r="K517" s="692"/>
      <c r="L517" s="692" t="s">
        <v>334</v>
      </c>
      <c r="M517" s="692"/>
    </row>
    <row r="518" spans="1:13" ht="15.75" x14ac:dyDescent="0.25">
      <c r="A518" s="692" t="s">
        <v>334</v>
      </c>
      <c r="B518" s="635"/>
      <c r="C518" s="692"/>
      <c r="D518" s="692"/>
      <c r="E518" s="692"/>
      <c r="G518" s="692"/>
      <c r="H518" s="735"/>
      <c r="I518" s="692"/>
      <c r="J518" s="692"/>
      <c r="K518" s="692"/>
      <c r="L518" s="692" t="s">
        <v>334</v>
      </c>
      <c r="M518" s="692"/>
    </row>
    <row r="519" spans="1:13" ht="15.75" x14ac:dyDescent="0.25">
      <c r="A519" s="692" t="s">
        <v>334</v>
      </c>
      <c r="B519" s="635"/>
      <c r="C519" s="692"/>
      <c r="D519" s="692"/>
      <c r="E519" s="692"/>
      <c r="G519" s="692"/>
      <c r="H519" s="735"/>
      <c r="I519" s="692"/>
      <c r="J519" s="692"/>
      <c r="K519" s="692"/>
      <c r="L519" s="692" t="s">
        <v>334</v>
      </c>
      <c r="M519" s="692"/>
    </row>
    <row r="520" spans="1:13" ht="15.75" x14ac:dyDescent="0.25">
      <c r="A520" s="692"/>
      <c r="B520" s="635"/>
      <c r="C520" s="692"/>
      <c r="D520" s="692"/>
      <c r="E520" s="692"/>
      <c r="G520" s="692"/>
      <c r="H520" s="735"/>
      <c r="I520" s="692"/>
      <c r="J520" s="692"/>
      <c r="K520" s="692"/>
      <c r="L520" s="692"/>
      <c r="M520" s="692"/>
    </row>
    <row r="521" spans="1:13" ht="15.75" x14ac:dyDescent="0.25">
      <c r="A521" s="692"/>
      <c r="B521" s="635"/>
      <c r="C521" s="692"/>
      <c r="D521" s="692"/>
      <c r="E521" s="692"/>
      <c r="G521" s="692"/>
      <c r="H521" s="735"/>
      <c r="I521" s="692"/>
      <c r="J521" s="692"/>
      <c r="K521" s="692"/>
      <c r="L521" s="692"/>
      <c r="M521" s="634"/>
    </row>
    <row r="522" spans="1:13" ht="15.75" x14ac:dyDescent="0.25">
      <c r="A522" s="692"/>
      <c r="B522" s="635"/>
      <c r="C522" s="692"/>
      <c r="D522" s="692"/>
      <c r="E522" s="692"/>
      <c r="G522" s="692"/>
      <c r="H522" s="735"/>
      <c r="I522" s="692"/>
      <c r="J522" s="692"/>
      <c r="K522" s="692"/>
      <c r="L522" s="692"/>
      <c r="M522" s="635"/>
    </row>
    <row r="523" spans="1:13" ht="15.75" x14ac:dyDescent="0.25">
      <c r="A523" s="692"/>
      <c r="B523" s="635"/>
      <c r="C523" s="692"/>
      <c r="D523" s="692"/>
      <c r="E523" s="692"/>
      <c r="G523" s="692"/>
      <c r="H523" s="735"/>
      <c r="I523" s="692"/>
      <c r="J523" s="692"/>
      <c r="K523" s="692"/>
      <c r="L523" s="692"/>
      <c r="M523" s="635"/>
    </row>
    <row r="524" spans="1:13" ht="15.75" x14ac:dyDescent="0.25">
      <c r="A524" s="692"/>
      <c r="B524" s="635"/>
      <c r="C524" s="692"/>
      <c r="D524" s="692"/>
      <c r="E524" s="692"/>
      <c r="G524" s="692"/>
      <c r="H524" s="735"/>
      <c r="I524" s="692"/>
      <c r="J524" s="692"/>
      <c r="K524" s="692"/>
      <c r="L524" s="692"/>
      <c r="M524" s="635"/>
    </row>
    <row r="525" spans="1:13" ht="15.75" x14ac:dyDescent="0.25">
      <c r="A525" s="692"/>
      <c r="B525" s="635"/>
      <c r="C525" s="692"/>
      <c r="D525" s="692"/>
      <c r="E525" s="692"/>
      <c r="G525" s="692"/>
      <c r="H525" s="735"/>
      <c r="I525" s="692"/>
      <c r="J525" s="692"/>
      <c r="K525" s="692"/>
      <c r="L525" s="692"/>
      <c r="M525" s="635"/>
    </row>
    <row r="526" spans="1:13" ht="15.75" x14ac:dyDescent="0.25">
      <c r="A526" s="692"/>
      <c r="B526" s="635"/>
      <c r="C526" s="692"/>
      <c r="D526" s="692"/>
      <c r="E526" s="692"/>
      <c r="G526" s="692"/>
      <c r="H526" s="735"/>
      <c r="I526" s="692"/>
      <c r="J526" s="692"/>
      <c r="K526" s="692"/>
      <c r="L526" s="692"/>
      <c r="M526" s="635"/>
    </row>
    <row r="527" spans="1:13" ht="15.75" x14ac:dyDescent="0.25">
      <c r="A527" s="692"/>
      <c r="B527" s="635"/>
      <c r="C527" s="692"/>
      <c r="D527" s="692"/>
      <c r="E527" s="692"/>
      <c r="G527" s="692"/>
      <c r="H527" s="735"/>
      <c r="I527" s="692"/>
      <c r="J527" s="692"/>
      <c r="K527" s="692"/>
      <c r="L527" s="692"/>
      <c r="M527" s="635"/>
    </row>
    <row r="528" spans="1:13" ht="15.75" x14ac:dyDescent="0.25">
      <c r="A528" s="692"/>
      <c r="B528" s="635"/>
      <c r="C528" s="692"/>
      <c r="D528" s="692"/>
      <c r="E528" s="692"/>
      <c r="G528" s="692"/>
      <c r="H528" s="735"/>
      <c r="I528" s="692"/>
      <c r="J528" s="692"/>
      <c r="K528" s="692"/>
      <c r="L528" s="692"/>
      <c r="M528" s="635"/>
    </row>
    <row r="529" spans="1:13" ht="15.75" x14ac:dyDescent="0.25">
      <c r="A529" s="692"/>
      <c r="B529" s="635"/>
      <c r="C529" s="692"/>
      <c r="D529" s="692"/>
      <c r="E529" s="692"/>
      <c r="G529" s="692"/>
      <c r="H529" s="735"/>
      <c r="I529" s="692"/>
      <c r="J529" s="692"/>
      <c r="K529" s="692"/>
      <c r="L529" s="692"/>
      <c r="M529" s="635"/>
    </row>
    <row r="530" spans="1:13" ht="15.75" x14ac:dyDescent="0.25">
      <c r="A530" s="692"/>
      <c r="B530" s="635"/>
      <c r="C530" s="692"/>
      <c r="D530" s="692"/>
      <c r="E530" s="692"/>
      <c r="G530" s="692"/>
      <c r="H530" s="735"/>
      <c r="I530" s="692"/>
      <c r="J530" s="692"/>
      <c r="K530" s="692"/>
      <c r="L530" s="692"/>
      <c r="M530" s="635"/>
    </row>
    <row r="531" spans="1:13" ht="15.75" x14ac:dyDescent="0.25">
      <c r="A531" s="692"/>
      <c r="B531" s="635"/>
      <c r="C531" s="692"/>
      <c r="D531" s="692"/>
      <c r="E531" s="692"/>
      <c r="G531" s="692"/>
      <c r="H531" s="735"/>
      <c r="I531" s="692"/>
      <c r="J531" s="692"/>
      <c r="K531" s="692"/>
      <c r="L531" s="692"/>
      <c r="M531" s="635"/>
    </row>
    <row r="532" spans="1:13" ht="15.75" x14ac:dyDescent="0.25">
      <c r="A532" s="692"/>
      <c r="B532" s="635"/>
      <c r="C532" s="692"/>
      <c r="D532" s="692"/>
      <c r="E532" s="692"/>
      <c r="G532" s="692"/>
      <c r="H532" s="735"/>
      <c r="I532" s="692"/>
      <c r="J532" s="692"/>
      <c r="K532" s="692"/>
      <c r="L532" s="692"/>
      <c r="M532" s="635"/>
    </row>
    <row r="533" spans="1:13" ht="15.75" x14ac:dyDescent="0.25">
      <c r="A533" s="692"/>
      <c r="B533" s="635"/>
      <c r="C533" s="692"/>
      <c r="D533" s="692"/>
      <c r="E533" s="692"/>
      <c r="G533" s="692"/>
      <c r="H533" s="735"/>
      <c r="I533" s="692"/>
      <c r="J533" s="692"/>
      <c r="K533" s="692"/>
      <c r="L533" s="692"/>
      <c r="M533" s="635"/>
    </row>
    <row r="534" spans="1:13" ht="15.75" x14ac:dyDescent="0.25">
      <c r="A534" s="692"/>
      <c r="B534" s="635"/>
      <c r="C534" s="692"/>
      <c r="D534" s="692"/>
      <c r="E534" s="692"/>
      <c r="G534" s="692"/>
      <c r="H534" s="735"/>
      <c r="I534" s="692"/>
      <c r="J534" s="692"/>
      <c r="K534" s="692"/>
      <c r="L534" s="692"/>
      <c r="M534" s="634"/>
    </row>
    <row r="535" spans="1:13" ht="15.75" x14ac:dyDescent="0.25">
      <c r="A535" s="692"/>
      <c r="B535" s="635"/>
      <c r="C535" s="692"/>
      <c r="D535" s="692"/>
      <c r="E535" s="692"/>
      <c r="G535" s="692"/>
      <c r="H535" s="735"/>
      <c r="I535" s="692"/>
      <c r="J535" s="692"/>
      <c r="K535" s="692"/>
      <c r="L535" s="692"/>
      <c r="M535" s="634"/>
    </row>
    <row r="536" spans="1:13" ht="15.75" x14ac:dyDescent="0.25">
      <c r="A536" s="692"/>
      <c r="B536" s="635"/>
      <c r="C536" s="692"/>
      <c r="D536" s="692"/>
      <c r="E536" s="692"/>
      <c r="G536" s="692"/>
      <c r="H536" s="735"/>
      <c r="I536" s="692"/>
      <c r="J536" s="692"/>
      <c r="K536" s="692"/>
      <c r="L536" s="692"/>
      <c r="M536" s="634"/>
    </row>
    <row r="537" spans="1:13" ht="15.75" x14ac:dyDescent="0.25">
      <c r="A537" s="692"/>
      <c r="B537" s="635"/>
      <c r="C537" s="692"/>
      <c r="D537" s="692"/>
      <c r="E537" s="692"/>
      <c r="G537" s="692"/>
      <c r="H537" s="735"/>
      <c r="I537" s="692"/>
      <c r="J537" s="692"/>
      <c r="K537" s="692"/>
      <c r="L537" s="692"/>
      <c r="M537" s="635"/>
    </row>
    <row r="538" spans="1:13" ht="15.75" x14ac:dyDescent="0.25">
      <c r="A538" s="692"/>
      <c r="B538" s="635"/>
      <c r="C538" s="692"/>
      <c r="D538" s="692"/>
      <c r="E538" s="692"/>
      <c r="G538" s="692"/>
      <c r="H538" s="735"/>
      <c r="I538" s="692"/>
      <c r="J538" s="692"/>
      <c r="K538" s="692"/>
      <c r="L538" s="692"/>
      <c r="M538" s="635"/>
    </row>
    <row r="539" spans="1:13" ht="15.75" x14ac:dyDescent="0.25">
      <c r="A539" s="692"/>
      <c r="B539" s="635"/>
      <c r="C539" s="692"/>
      <c r="D539" s="692"/>
      <c r="E539" s="692"/>
      <c r="G539" s="692"/>
      <c r="H539" s="735"/>
      <c r="I539" s="692"/>
      <c r="J539" s="692"/>
      <c r="K539" s="692"/>
      <c r="L539" s="692"/>
      <c r="M539" s="635"/>
    </row>
    <row r="540" spans="1:13" ht="15.75" x14ac:dyDescent="0.25">
      <c r="A540" s="692"/>
      <c r="B540" s="635"/>
      <c r="C540" s="692"/>
      <c r="D540" s="692"/>
      <c r="E540" s="692"/>
      <c r="G540" s="692"/>
      <c r="H540" s="735"/>
      <c r="I540" s="692"/>
      <c r="J540" s="692"/>
      <c r="K540" s="692"/>
      <c r="L540" s="692"/>
      <c r="M540" s="635"/>
    </row>
    <row r="541" spans="1:13" ht="15.75" x14ac:dyDescent="0.25">
      <c r="A541" s="692"/>
      <c r="B541" s="635"/>
      <c r="C541" s="692"/>
      <c r="D541" s="692"/>
      <c r="E541" s="692"/>
      <c r="G541" s="692"/>
      <c r="H541" s="735"/>
      <c r="I541" s="692"/>
      <c r="J541" s="692"/>
      <c r="K541" s="692"/>
      <c r="L541" s="692"/>
      <c r="M541" s="635"/>
    </row>
    <row r="542" spans="1:13" ht="15.75" x14ac:dyDescent="0.25">
      <c r="A542" s="692"/>
      <c r="B542" s="635"/>
      <c r="C542" s="692"/>
      <c r="D542" s="692"/>
      <c r="E542" s="692"/>
      <c r="G542" s="692"/>
      <c r="H542" s="735"/>
      <c r="I542" s="692"/>
      <c r="J542" s="692"/>
      <c r="K542" s="692"/>
      <c r="L542" s="692"/>
      <c r="M542" s="635"/>
    </row>
    <row r="543" spans="1:13" ht="15.75" x14ac:dyDescent="0.25">
      <c r="A543" s="692"/>
      <c r="B543" s="635"/>
      <c r="C543" s="692"/>
      <c r="D543" s="692"/>
      <c r="E543" s="692"/>
      <c r="G543" s="692"/>
      <c r="H543" s="735"/>
      <c r="I543" s="692"/>
      <c r="J543" s="692"/>
      <c r="K543" s="692"/>
      <c r="L543" s="692"/>
      <c r="M543" s="635"/>
    </row>
    <row r="544" spans="1:13" ht="15.75" x14ac:dyDescent="0.25">
      <c r="A544" s="692"/>
      <c r="B544" s="635"/>
      <c r="C544" s="692"/>
      <c r="D544" s="692"/>
      <c r="E544" s="692"/>
      <c r="G544" s="692"/>
      <c r="H544" s="735"/>
      <c r="I544" s="692"/>
      <c r="J544" s="692"/>
      <c r="K544" s="692"/>
      <c r="L544" s="692"/>
      <c r="M544" s="635"/>
    </row>
    <row r="545" spans="1:13" ht="15.75" x14ac:dyDescent="0.25">
      <c r="A545" s="692"/>
      <c r="B545" s="635"/>
      <c r="C545" s="692"/>
      <c r="D545" s="692"/>
      <c r="E545" s="692"/>
      <c r="G545" s="692"/>
      <c r="H545" s="735"/>
      <c r="I545" s="692"/>
      <c r="J545" s="692"/>
      <c r="K545" s="692"/>
      <c r="L545" s="692"/>
      <c r="M545" s="635"/>
    </row>
    <row r="546" spans="1:13" ht="15.75" x14ac:dyDescent="0.25">
      <c r="A546" s="692"/>
      <c r="B546" s="635"/>
      <c r="C546" s="692"/>
      <c r="D546" s="692"/>
      <c r="E546" s="692"/>
      <c r="G546" s="692"/>
      <c r="H546" s="735"/>
      <c r="I546" s="692"/>
      <c r="J546" s="692"/>
      <c r="K546" s="692"/>
      <c r="L546" s="692"/>
      <c r="M546" s="635"/>
    </row>
    <row r="547" spans="1:13" ht="15.75" x14ac:dyDescent="0.25">
      <c r="A547" s="692"/>
      <c r="B547" s="634"/>
      <c r="C547" s="692"/>
      <c r="D547" s="692"/>
      <c r="E547" s="692"/>
      <c r="G547" s="692"/>
      <c r="H547" s="735"/>
      <c r="I547" s="692"/>
      <c r="J547" s="692"/>
      <c r="K547" s="692"/>
      <c r="L547" s="692"/>
      <c r="M547" s="635"/>
    </row>
    <row r="548" spans="1:13" ht="15.75" x14ac:dyDescent="0.25">
      <c r="A548" s="692"/>
      <c r="B548" s="635"/>
      <c r="C548" s="692"/>
      <c r="D548" s="692"/>
      <c r="E548" s="692"/>
      <c r="G548" s="692"/>
      <c r="H548" s="735"/>
      <c r="I548" s="692"/>
      <c r="J548" s="692"/>
      <c r="K548" s="692"/>
      <c r="L548" s="692"/>
      <c r="M548" s="635"/>
    </row>
    <row r="549" spans="1:13" ht="15.75" x14ac:dyDescent="0.25">
      <c r="A549" s="692"/>
      <c r="B549" s="635"/>
      <c r="C549" s="692"/>
      <c r="D549" s="692"/>
      <c r="E549" s="692"/>
      <c r="G549" s="692"/>
      <c r="H549" s="735"/>
      <c r="I549" s="692"/>
      <c r="J549" s="692"/>
      <c r="K549" s="692"/>
      <c r="L549" s="692"/>
      <c r="M549" s="635"/>
    </row>
    <row r="550" spans="1:13" ht="15.75" x14ac:dyDescent="0.25">
      <c r="A550" s="692"/>
      <c r="B550" s="635"/>
      <c r="C550" s="692"/>
      <c r="D550" s="692"/>
      <c r="E550" s="692"/>
      <c r="G550" s="692"/>
      <c r="H550" s="735"/>
      <c r="I550" s="692"/>
      <c r="J550" s="692"/>
      <c r="K550" s="692"/>
      <c r="L550" s="692"/>
      <c r="M550" s="635"/>
    </row>
    <row r="551" spans="1:13" ht="15.75" x14ac:dyDescent="0.25">
      <c r="A551" s="692"/>
      <c r="B551" s="635"/>
      <c r="C551" s="692"/>
      <c r="D551" s="692"/>
      <c r="E551" s="692"/>
      <c r="G551" s="692"/>
      <c r="H551" s="735"/>
      <c r="I551" s="692"/>
      <c r="J551" s="692"/>
      <c r="K551" s="692"/>
      <c r="L551" s="692"/>
      <c r="M551" s="635"/>
    </row>
    <row r="552" spans="1:13" ht="15.75" x14ac:dyDescent="0.25">
      <c r="A552" s="692"/>
      <c r="B552" s="635"/>
      <c r="C552" s="692"/>
      <c r="D552" s="692"/>
      <c r="E552" s="692"/>
      <c r="G552" s="692"/>
      <c r="H552" s="735"/>
      <c r="I552" s="692"/>
      <c r="J552" s="692"/>
      <c r="K552" s="692"/>
      <c r="L552" s="692"/>
      <c r="M552" s="635"/>
    </row>
    <row r="553" spans="1:13" ht="15.75" x14ac:dyDescent="0.25">
      <c r="A553" s="692"/>
      <c r="B553" s="635"/>
      <c r="C553" s="692"/>
      <c r="D553" s="692"/>
      <c r="E553" s="692"/>
      <c r="G553" s="692"/>
      <c r="H553" s="735"/>
      <c r="I553" s="692"/>
      <c r="J553" s="692"/>
      <c r="K553" s="692"/>
      <c r="L553" s="692"/>
      <c r="M553" s="635"/>
    </row>
    <row r="554" spans="1:13" ht="15.75" x14ac:dyDescent="0.25">
      <c r="A554" s="692"/>
      <c r="B554" s="635"/>
      <c r="C554" s="692"/>
      <c r="D554" s="692"/>
      <c r="E554" s="692"/>
      <c r="G554" s="692"/>
      <c r="H554" s="735"/>
      <c r="I554" s="692"/>
      <c r="J554" s="692"/>
      <c r="K554" s="692"/>
      <c r="L554" s="692"/>
      <c r="M554" s="635"/>
    </row>
    <row r="555" spans="1:13" ht="15.75" x14ac:dyDescent="0.25">
      <c r="A555" s="692"/>
      <c r="B555" s="635"/>
      <c r="C555" s="692"/>
      <c r="D555" s="692"/>
      <c r="E555" s="692"/>
      <c r="G555" s="692"/>
      <c r="H555" s="735"/>
      <c r="I555" s="692"/>
      <c r="J555" s="692"/>
      <c r="K555" s="692"/>
      <c r="L555" s="692"/>
      <c r="M555" s="635"/>
    </row>
    <row r="556" spans="1:13" ht="15.75" x14ac:dyDescent="0.25">
      <c r="A556" s="692"/>
      <c r="B556" s="635"/>
      <c r="C556" s="692"/>
      <c r="D556" s="692"/>
      <c r="E556" s="692"/>
      <c r="G556" s="692"/>
      <c r="H556" s="735"/>
      <c r="I556" s="692"/>
      <c r="J556" s="692"/>
      <c r="K556" s="692"/>
      <c r="L556" s="692"/>
      <c r="M556" s="635"/>
    </row>
    <row r="557" spans="1:13" ht="15.75" x14ac:dyDescent="0.25">
      <c r="A557" s="692"/>
      <c r="B557" s="635"/>
      <c r="C557" s="692"/>
      <c r="D557" s="692"/>
      <c r="E557" s="692"/>
      <c r="G557" s="692"/>
      <c r="H557" s="735"/>
      <c r="I557" s="692"/>
      <c r="J557" s="692"/>
      <c r="K557" s="692"/>
      <c r="L557" s="692"/>
      <c r="M557" s="635"/>
    </row>
    <row r="558" spans="1:13" ht="15.75" x14ac:dyDescent="0.25">
      <c r="A558" s="692"/>
      <c r="B558" s="635"/>
      <c r="C558" s="692"/>
      <c r="D558" s="692"/>
      <c r="E558" s="692"/>
      <c r="G558" s="692"/>
      <c r="H558" s="735"/>
      <c r="I558" s="692"/>
      <c r="J558" s="692"/>
      <c r="K558" s="692"/>
      <c r="L558" s="692"/>
      <c r="M558" s="635"/>
    </row>
    <row r="559" spans="1:13" ht="15.75" x14ac:dyDescent="0.25">
      <c r="A559" s="692"/>
      <c r="B559" s="635"/>
      <c r="C559" s="692"/>
      <c r="D559" s="692"/>
      <c r="E559" s="692"/>
      <c r="G559" s="692"/>
      <c r="H559" s="735"/>
      <c r="I559" s="692"/>
      <c r="J559" s="692"/>
      <c r="K559" s="692"/>
      <c r="L559" s="692"/>
      <c r="M559" s="635"/>
    </row>
    <row r="560" spans="1:13" ht="15.75" x14ac:dyDescent="0.25">
      <c r="A560" s="692"/>
      <c r="B560" s="635"/>
      <c r="C560" s="692"/>
      <c r="D560" s="692"/>
      <c r="E560" s="692"/>
      <c r="G560" s="692"/>
      <c r="H560" s="735"/>
      <c r="I560" s="692"/>
      <c r="J560" s="692"/>
      <c r="K560" s="692"/>
      <c r="L560" s="692"/>
      <c r="M560" s="635"/>
    </row>
    <row r="561" spans="1:13" ht="15.75" x14ac:dyDescent="0.25">
      <c r="A561" s="692"/>
      <c r="B561" s="635"/>
      <c r="C561" s="692"/>
      <c r="D561" s="692"/>
      <c r="E561" s="692"/>
      <c r="G561" s="692"/>
      <c r="H561" s="735"/>
      <c r="I561" s="692"/>
      <c r="J561" s="692"/>
      <c r="K561" s="692"/>
      <c r="L561" s="692"/>
      <c r="M561" s="635"/>
    </row>
    <row r="562" spans="1:13" ht="15.75" x14ac:dyDescent="0.25">
      <c r="A562" s="692"/>
      <c r="B562" s="635"/>
      <c r="C562" s="692"/>
      <c r="D562" s="692"/>
      <c r="E562" s="692"/>
      <c r="G562" s="692"/>
      <c r="H562" s="735"/>
      <c r="I562" s="692"/>
      <c r="J562" s="692"/>
      <c r="K562" s="692"/>
      <c r="L562" s="692"/>
      <c r="M562" s="635"/>
    </row>
    <row r="563" spans="1:13" ht="15.75" x14ac:dyDescent="0.25">
      <c r="A563" s="692"/>
      <c r="B563" s="635"/>
      <c r="C563" s="692"/>
      <c r="D563" s="692"/>
      <c r="E563" s="692"/>
      <c r="G563" s="692"/>
      <c r="H563" s="735"/>
      <c r="I563" s="692"/>
      <c r="J563" s="692"/>
      <c r="K563" s="692"/>
      <c r="L563" s="692"/>
      <c r="M563" s="635"/>
    </row>
    <row r="564" spans="1:13" ht="15.75" x14ac:dyDescent="0.25">
      <c r="A564" s="692"/>
      <c r="B564" s="635"/>
      <c r="C564" s="692"/>
      <c r="D564" s="692"/>
      <c r="E564" s="692"/>
      <c r="G564" s="692"/>
      <c r="H564" s="735"/>
      <c r="I564" s="692"/>
      <c r="J564" s="692"/>
      <c r="K564" s="692"/>
      <c r="L564" s="692"/>
      <c r="M564" s="635"/>
    </row>
    <row r="565" spans="1:13" ht="15.75" x14ac:dyDescent="0.25">
      <c r="A565" s="692"/>
      <c r="B565" s="635"/>
      <c r="C565" s="692"/>
      <c r="D565" s="692"/>
      <c r="E565" s="692"/>
      <c r="G565" s="692"/>
      <c r="H565" s="735"/>
      <c r="I565" s="692"/>
      <c r="J565" s="692"/>
      <c r="K565" s="692"/>
      <c r="L565" s="692"/>
      <c r="M565" s="635"/>
    </row>
    <row r="566" spans="1:13" ht="15.75" x14ac:dyDescent="0.25">
      <c r="A566" s="692"/>
      <c r="B566" s="635"/>
      <c r="C566" s="692"/>
      <c r="D566" s="692"/>
      <c r="E566" s="692"/>
      <c r="G566" s="692"/>
      <c r="H566" s="735"/>
      <c r="I566" s="692"/>
      <c r="J566" s="692"/>
      <c r="K566" s="692"/>
      <c r="L566" s="692"/>
      <c r="M566" s="635"/>
    </row>
    <row r="567" spans="1:13" ht="15.75" x14ac:dyDescent="0.25">
      <c r="A567" s="692"/>
      <c r="B567" s="635"/>
      <c r="C567" s="692"/>
      <c r="D567" s="692"/>
      <c r="E567" s="692"/>
      <c r="G567" s="692"/>
      <c r="H567" s="735"/>
      <c r="I567" s="692"/>
      <c r="J567" s="692"/>
      <c r="K567" s="692"/>
      <c r="L567" s="692"/>
      <c r="M567" s="635"/>
    </row>
    <row r="568" spans="1:13" ht="15.75" x14ac:dyDescent="0.25">
      <c r="A568" s="692"/>
      <c r="B568" s="635"/>
      <c r="C568" s="692"/>
      <c r="D568" s="692"/>
      <c r="E568" s="692"/>
      <c r="G568" s="692"/>
      <c r="H568" s="735"/>
      <c r="I568" s="692"/>
      <c r="J568" s="692"/>
      <c r="K568" s="692"/>
      <c r="L568" s="692"/>
      <c r="M568" s="634"/>
    </row>
    <row r="569" spans="1:13" ht="15.75" x14ac:dyDescent="0.25">
      <c r="A569" s="692"/>
      <c r="B569" s="635"/>
      <c r="C569" s="692"/>
      <c r="D569" s="692"/>
      <c r="E569" s="692"/>
      <c r="G569" s="692"/>
      <c r="H569" s="735"/>
      <c r="I569" s="692"/>
      <c r="J569" s="692"/>
      <c r="K569" s="692"/>
      <c r="L569" s="692"/>
      <c r="M569" s="635"/>
    </row>
    <row r="570" spans="1:13" ht="15.75" x14ac:dyDescent="0.25">
      <c r="A570" s="692"/>
      <c r="B570" s="635"/>
      <c r="C570" s="692"/>
      <c r="D570" s="692"/>
      <c r="E570" s="692"/>
      <c r="G570" s="692"/>
      <c r="H570" s="735"/>
      <c r="I570" s="692"/>
      <c r="J570" s="692"/>
      <c r="K570" s="692"/>
      <c r="L570" s="692"/>
      <c r="M570" s="635"/>
    </row>
    <row r="571" spans="1:13" ht="15.75" x14ac:dyDescent="0.25">
      <c r="A571" s="692"/>
      <c r="B571" s="635"/>
      <c r="C571" s="692"/>
      <c r="D571" s="692"/>
      <c r="E571" s="692"/>
      <c r="G571" s="692"/>
      <c r="H571" s="735"/>
      <c r="I571" s="692"/>
      <c r="J571" s="692"/>
      <c r="K571" s="692"/>
      <c r="L571" s="692"/>
      <c r="M571" s="635"/>
    </row>
    <row r="572" spans="1:13" ht="15.75" x14ac:dyDescent="0.25">
      <c r="A572" s="692"/>
      <c r="B572" s="635"/>
      <c r="C572" s="692"/>
      <c r="D572" s="692"/>
      <c r="E572" s="692"/>
      <c r="G572" s="692"/>
      <c r="H572" s="735"/>
      <c r="I572" s="692"/>
      <c r="J572" s="692"/>
      <c r="K572" s="692"/>
      <c r="L572" s="692"/>
      <c r="M572" s="635"/>
    </row>
    <row r="573" spans="1:13" ht="15.75" x14ac:dyDescent="0.25">
      <c r="A573" s="692"/>
      <c r="B573" s="635"/>
      <c r="C573" s="692"/>
      <c r="D573" s="692"/>
      <c r="E573" s="692"/>
      <c r="G573" s="692"/>
      <c r="H573" s="735"/>
      <c r="I573" s="692"/>
      <c r="J573" s="692"/>
      <c r="K573" s="692"/>
      <c r="L573" s="692"/>
      <c r="M573" s="635"/>
    </row>
    <row r="574" spans="1:13" ht="15.75" x14ac:dyDescent="0.25">
      <c r="A574" s="692"/>
      <c r="B574" s="635"/>
      <c r="C574" s="692"/>
      <c r="D574" s="692"/>
      <c r="E574" s="692"/>
      <c r="G574" s="692"/>
      <c r="H574" s="735"/>
      <c r="I574" s="692"/>
      <c r="J574" s="692"/>
      <c r="K574" s="692"/>
      <c r="L574" s="692"/>
      <c r="M574" s="635"/>
    </row>
    <row r="575" spans="1:13" ht="15.75" x14ac:dyDescent="0.25">
      <c r="A575" s="692"/>
      <c r="B575" s="634"/>
      <c r="C575" s="692"/>
      <c r="D575" s="692"/>
      <c r="E575" s="692"/>
      <c r="G575" s="692"/>
      <c r="H575" s="735"/>
      <c r="I575" s="692"/>
      <c r="J575" s="692"/>
      <c r="K575" s="692"/>
      <c r="L575" s="692"/>
      <c r="M575" s="635"/>
    </row>
    <row r="576" spans="1:13" ht="15.75" x14ac:dyDescent="0.25">
      <c r="A576" s="692"/>
      <c r="B576" s="635"/>
      <c r="C576" s="692"/>
      <c r="D576" s="692"/>
      <c r="E576" s="692"/>
      <c r="G576" s="692"/>
      <c r="H576" s="735"/>
      <c r="I576" s="692"/>
      <c r="J576" s="692"/>
      <c r="K576" s="692"/>
      <c r="L576" s="692"/>
      <c r="M576" s="635"/>
    </row>
    <row r="577" spans="1:13" ht="15.75" x14ac:dyDescent="0.25">
      <c r="A577" s="692"/>
      <c r="B577" s="635"/>
      <c r="C577" s="692"/>
      <c r="D577" s="692"/>
      <c r="E577" s="692"/>
      <c r="G577" s="692"/>
      <c r="H577" s="735"/>
      <c r="I577" s="692"/>
      <c r="J577" s="692"/>
      <c r="K577" s="692"/>
      <c r="L577" s="692"/>
      <c r="M577" s="635"/>
    </row>
    <row r="578" spans="1:13" ht="15.75" x14ac:dyDescent="0.25">
      <c r="A578" s="692"/>
      <c r="B578" s="635"/>
      <c r="C578" s="692"/>
      <c r="D578" s="692"/>
      <c r="E578" s="692"/>
      <c r="G578" s="692"/>
      <c r="H578" s="735"/>
      <c r="I578" s="692"/>
      <c r="J578" s="692"/>
      <c r="K578" s="692"/>
      <c r="L578" s="692"/>
      <c r="M578" s="635"/>
    </row>
    <row r="579" spans="1:13" ht="15.75" x14ac:dyDescent="0.25">
      <c r="A579" s="692"/>
      <c r="B579" s="635"/>
      <c r="C579" s="692"/>
      <c r="D579" s="692"/>
      <c r="E579" s="692"/>
      <c r="G579" s="692"/>
      <c r="H579" s="735"/>
      <c r="I579" s="692"/>
      <c r="J579" s="692"/>
      <c r="K579" s="692"/>
      <c r="L579" s="692"/>
      <c r="M579" s="635"/>
    </row>
    <row r="580" spans="1:13" ht="15.75" x14ac:dyDescent="0.25">
      <c r="A580" s="692"/>
      <c r="B580" s="635"/>
      <c r="C580" s="692"/>
      <c r="D580" s="692"/>
      <c r="E580" s="692"/>
      <c r="G580" s="692"/>
      <c r="H580" s="735"/>
      <c r="I580" s="692"/>
      <c r="J580" s="692"/>
      <c r="K580" s="692"/>
      <c r="L580" s="692"/>
      <c r="M580" s="635"/>
    </row>
    <row r="581" spans="1:13" ht="15.75" x14ac:dyDescent="0.25">
      <c r="A581" s="692"/>
      <c r="B581" s="635"/>
      <c r="C581" s="692"/>
      <c r="D581" s="692"/>
      <c r="E581" s="692"/>
      <c r="G581" s="692"/>
      <c r="H581" s="735"/>
      <c r="I581" s="692"/>
      <c r="J581" s="692"/>
      <c r="K581" s="692"/>
      <c r="L581" s="692"/>
      <c r="M581" s="635"/>
    </row>
    <row r="582" spans="1:13" ht="15.75" x14ac:dyDescent="0.25">
      <c r="A582" s="692"/>
      <c r="B582" s="635"/>
      <c r="C582" s="692"/>
      <c r="D582" s="692"/>
      <c r="E582" s="692"/>
      <c r="G582" s="692"/>
      <c r="H582" s="735"/>
      <c r="I582" s="692"/>
      <c r="J582" s="692"/>
      <c r="K582" s="692"/>
      <c r="L582" s="692"/>
      <c r="M582" s="635"/>
    </row>
    <row r="583" spans="1:13" ht="15.75" x14ac:dyDescent="0.25">
      <c r="A583" s="692"/>
      <c r="B583" s="634"/>
      <c r="C583" s="692"/>
      <c r="D583" s="692"/>
      <c r="E583" s="692"/>
      <c r="G583" s="692"/>
      <c r="H583" s="735"/>
      <c r="I583" s="692"/>
      <c r="J583" s="692"/>
      <c r="K583" s="692"/>
      <c r="L583" s="692"/>
      <c r="M583" s="635"/>
    </row>
    <row r="584" spans="1:13" ht="15.75" x14ac:dyDescent="0.25">
      <c r="A584" s="692"/>
      <c r="B584" s="635"/>
      <c r="C584" s="692"/>
      <c r="D584" s="692"/>
      <c r="E584" s="692"/>
      <c r="G584" s="692"/>
      <c r="H584" s="735"/>
      <c r="I584" s="692"/>
      <c r="J584" s="692"/>
      <c r="K584" s="692"/>
      <c r="L584" s="692"/>
      <c r="M584" s="635"/>
    </row>
    <row r="585" spans="1:13" ht="15.75" x14ac:dyDescent="0.25">
      <c r="A585" s="692"/>
      <c r="B585" s="635"/>
      <c r="C585" s="692"/>
      <c r="D585" s="692"/>
      <c r="E585" s="692"/>
      <c r="G585" s="692"/>
      <c r="H585" s="735"/>
      <c r="I585" s="692"/>
      <c r="J585" s="692"/>
      <c r="K585" s="692"/>
      <c r="L585" s="692"/>
      <c r="M585" s="635"/>
    </row>
    <row r="586" spans="1:13" ht="15.75" x14ac:dyDescent="0.25">
      <c r="A586" s="692"/>
      <c r="B586" s="634"/>
      <c r="C586" s="692"/>
      <c r="D586" s="692"/>
      <c r="E586" s="692"/>
      <c r="G586" s="692"/>
      <c r="H586" s="735"/>
      <c r="I586" s="692"/>
      <c r="J586" s="692"/>
      <c r="K586" s="692"/>
      <c r="L586" s="692"/>
      <c r="M586" s="635"/>
    </row>
    <row r="587" spans="1:13" ht="15.75" x14ac:dyDescent="0.25">
      <c r="A587" s="692"/>
      <c r="B587" s="635"/>
      <c r="C587" s="692"/>
      <c r="D587" s="692"/>
      <c r="E587" s="692"/>
      <c r="G587" s="692"/>
      <c r="H587" s="735"/>
      <c r="I587" s="692"/>
      <c r="J587" s="692"/>
      <c r="K587" s="692"/>
      <c r="L587" s="692"/>
      <c r="M587" s="635"/>
    </row>
    <row r="588" spans="1:13" ht="15.75" x14ac:dyDescent="0.25">
      <c r="A588" s="692"/>
      <c r="B588" s="635"/>
      <c r="C588" s="692"/>
      <c r="D588" s="692"/>
      <c r="E588" s="692"/>
      <c r="G588" s="692"/>
      <c r="H588" s="735"/>
      <c r="I588" s="692"/>
      <c r="J588" s="692"/>
      <c r="K588" s="692"/>
      <c r="L588" s="692"/>
      <c r="M588" s="635"/>
    </row>
    <row r="589" spans="1:13" ht="15.75" x14ac:dyDescent="0.25">
      <c r="A589" s="692"/>
      <c r="B589" s="635"/>
      <c r="C589" s="692"/>
      <c r="D589" s="692"/>
      <c r="E589" s="692"/>
      <c r="G589" s="692"/>
      <c r="H589" s="735"/>
      <c r="I589" s="692"/>
      <c r="J589" s="692"/>
      <c r="K589" s="692"/>
      <c r="L589" s="692"/>
      <c r="M589" s="635"/>
    </row>
    <row r="590" spans="1:13" ht="15.75" x14ac:dyDescent="0.25">
      <c r="A590" s="692"/>
      <c r="B590" s="635"/>
      <c r="C590" s="692"/>
      <c r="D590" s="692"/>
      <c r="E590" s="692"/>
      <c r="G590" s="692"/>
      <c r="H590" s="735"/>
      <c r="I590" s="692"/>
      <c r="J590" s="692"/>
      <c r="K590" s="692"/>
      <c r="L590" s="692"/>
      <c r="M590" s="635"/>
    </row>
    <row r="591" spans="1:13" ht="15.75" x14ac:dyDescent="0.25">
      <c r="A591" s="692"/>
      <c r="B591" s="635"/>
      <c r="C591" s="692"/>
      <c r="D591" s="692"/>
      <c r="E591" s="692"/>
      <c r="G591" s="692"/>
      <c r="H591" s="735"/>
      <c r="I591" s="692"/>
      <c r="J591" s="692"/>
      <c r="K591" s="692"/>
      <c r="L591" s="692"/>
      <c r="M591" s="635"/>
    </row>
    <row r="592" spans="1:13" ht="15.75" x14ac:dyDescent="0.25">
      <c r="A592" s="692"/>
      <c r="B592" s="635"/>
      <c r="C592" s="692"/>
      <c r="D592" s="692"/>
      <c r="E592" s="692"/>
      <c r="G592" s="692"/>
      <c r="H592" s="735"/>
      <c r="I592" s="692"/>
      <c r="J592" s="692"/>
      <c r="K592" s="692"/>
      <c r="L592" s="692"/>
      <c r="M592" s="635"/>
    </row>
    <row r="593" spans="1:13" ht="15.75" x14ac:dyDescent="0.25">
      <c r="A593" s="692"/>
      <c r="B593" s="635"/>
      <c r="C593" s="692"/>
      <c r="D593" s="692"/>
      <c r="E593" s="692"/>
      <c r="G593" s="692"/>
      <c r="H593" s="735"/>
      <c r="I593" s="692"/>
      <c r="J593" s="692"/>
      <c r="K593" s="692"/>
      <c r="L593" s="692"/>
      <c r="M593" s="635"/>
    </row>
    <row r="594" spans="1:13" ht="15.75" x14ac:dyDescent="0.25">
      <c r="A594" s="692"/>
      <c r="B594" s="635"/>
      <c r="C594" s="692"/>
      <c r="D594" s="692"/>
      <c r="E594" s="692"/>
      <c r="G594" s="692"/>
      <c r="H594" s="735"/>
      <c r="I594" s="692"/>
      <c r="J594" s="692"/>
      <c r="K594" s="692"/>
      <c r="L594" s="692"/>
      <c r="M594" s="635"/>
    </row>
    <row r="595" spans="1:13" ht="15.75" x14ac:dyDescent="0.25">
      <c r="A595" s="692"/>
      <c r="B595" s="635"/>
      <c r="C595" s="692"/>
      <c r="D595" s="692"/>
      <c r="E595" s="692"/>
      <c r="G595" s="692"/>
      <c r="H595" s="735"/>
      <c r="I595" s="692"/>
      <c r="J595" s="692"/>
      <c r="K595" s="692"/>
      <c r="L595" s="692"/>
      <c r="M595" s="635"/>
    </row>
    <row r="596" spans="1:13" ht="15.75" x14ac:dyDescent="0.25">
      <c r="A596" s="692"/>
      <c r="B596" s="635"/>
      <c r="C596" s="692"/>
      <c r="D596" s="692"/>
      <c r="E596" s="692"/>
      <c r="G596" s="692"/>
      <c r="H596" s="735"/>
      <c r="I596" s="692"/>
      <c r="J596" s="692"/>
      <c r="K596" s="692"/>
      <c r="L596" s="692"/>
      <c r="M596" s="634"/>
    </row>
    <row r="597" spans="1:13" ht="15.75" x14ac:dyDescent="0.25">
      <c r="A597" s="692"/>
      <c r="B597" s="635"/>
      <c r="C597" s="692"/>
      <c r="D597" s="692"/>
      <c r="E597" s="692"/>
      <c r="G597" s="692"/>
      <c r="H597" s="735"/>
      <c r="I597" s="692"/>
      <c r="J597" s="692"/>
      <c r="K597" s="692"/>
      <c r="L597" s="692"/>
      <c r="M597" s="635"/>
    </row>
    <row r="598" spans="1:13" ht="15.75" x14ac:dyDescent="0.25">
      <c r="A598" s="692"/>
      <c r="B598" s="635"/>
      <c r="C598" s="692"/>
      <c r="D598" s="692"/>
      <c r="E598" s="692"/>
      <c r="G598" s="692"/>
      <c r="H598" s="735"/>
      <c r="I598" s="692"/>
      <c r="J598" s="692"/>
      <c r="K598" s="692"/>
      <c r="L598" s="692"/>
      <c r="M598" s="635"/>
    </row>
    <row r="599" spans="1:13" ht="15.75" x14ac:dyDescent="0.25">
      <c r="A599" s="692"/>
      <c r="B599" s="635"/>
      <c r="C599" s="692"/>
      <c r="D599" s="692"/>
      <c r="E599" s="692"/>
      <c r="G599" s="692"/>
      <c r="H599" s="735"/>
      <c r="I599" s="692"/>
      <c r="J599" s="692"/>
      <c r="K599" s="692"/>
      <c r="L599" s="692"/>
      <c r="M599" s="635"/>
    </row>
    <row r="600" spans="1:13" ht="15.75" x14ac:dyDescent="0.25">
      <c r="A600" s="692"/>
      <c r="B600" s="635"/>
      <c r="C600" s="692"/>
      <c r="D600" s="692"/>
      <c r="E600" s="692"/>
      <c r="G600" s="692"/>
      <c r="H600" s="735"/>
      <c r="I600" s="692"/>
      <c r="J600" s="692"/>
      <c r="K600" s="692"/>
      <c r="L600" s="692"/>
      <c r="M600" s="635"/>
    </row>
    <row r="601" spans="1:13" ht="15.75" x14ac:dyDescent="0.25">
      <c r="A601" s="692"/>
      <c r="B601" s="635"/>
      <c r="C601" s="692"/>
      <c r="D601" s="692"/>
      <c r="E601" s="692"/>
      <c r="G601" s="692"/>
      <c r="H601" s="735"/>
      <c r="I601" s="692"/>
      <c r="J601" s="692"/>
      <c r="K601" s="692"/>
      <c r="L601" s="692"/>
      <c r="M601" s="635"/>
    </row>
    <row r="602" spans="1:13" ht="15.75" x14ac:dyDescent="0.25">
      <c r="A602" s="692"/>
      <c r="B602" s="634"/>
      <c r="C602" s="692"/>
      <c r="D602" s="692"/>
      <c r="E602" s="692"/>
      <c r="G602" s="692"/>
      <c r="H602" s="735"/>
      <c r="I602" s="692"/>
      <c r="J602" s="692"/>
      <c r="K602" s="692"/>
      <c r="L602" s="692"/>
      <c r="M602" s="635"/>
    </row>
    <row r="603" spans="1:13" ht="15.75" x14ac:dyDescent="0.25">
      <c r="A603" s="692"/>
      <c r="B603" s="634"/>
      <c r="C603" s="692"/>
      <c r="D603" s="692"/>
      <c r="E603" s="692"/>
      <c r="G603" s="692"/>
      <c r="H603" s="735"/>
      <c r="I603" s="692"/>
      <c r="J603" s="692"/>
      <c r="K603" s="692"/>
      <c r="L603" s="692"/>
      <c r="M603" s="635"/>
    </row>
    <row r="604" spans="1:13" ht="15.75" x14ac:dyDescent="0.25">
      <c r="A604" s="692"/>
      <c r="B604" s="635"/>
      <c r="C604" s="692"/>
      <c r="D604" s="692"/>
      <c r="E604" s="692"/>
      <c r="G604" s="692"/>
      <c r="H604" s="735"/>
      <c r="I604" s="692"/>
      <c r="J604" s="692"/>
      <c r="K604" s="692"/>
      <c r="L604" s="692"/>
      <c r="M604" s="634"/>
    </row>
    <row r="605" spans="1:13" ht="15.75" x14ac:dyDescent="0.25">
      <c r="A605" s="692"/>
      <c r="B605" s="635"/>
      <c r="C605" s="692"/>
      <c r="D605" s="692"/>
      <c r="E605" s="692"/>
      <c r="G605" s="692"/>
      <c r="H605" s="735"/>
      <c r="I605" s="692"/>
      <c r="J605" s="692"/>
      <c r="K605" s="692"/>
      <c r="L605" s="692"/>
      <c r="M605" s="635"/>
    </row>
    <row r="606" spans="1:13" ht="15.75" x14ac:dyDescent="0.25">
      <c r="A606" s="692"/>
      <c r="B606" s="635"/>
      <c r="C606" s="692"/>
      <c r="D606" s="692"/>
      <c r="E606" s="692"/>
      <c r="G606" s="692"/>
      <c r="H606" s="735"/>
      <c r="I606" s="692"/>
      <c r="J606" s="692"/>
      <c r="K606" s="692"/>
      <c r="L606" s="692"/>
      <c r="M606" s="635"/>
    </row>
    <row r="607" spans="1:13" ht="15.75" x14ac:dyDescent="0.25">
      <c r="A607" s="692"/>
      <c r="B607" s="634"/>
      <c r="C607" s="692"/>
      <c r="D607" s="692"/>
      <c r="E607" s="692"/>
      <c r="G607" s="692"/>
      <c r="H607" s="735"/>
      <c r="I607" s="692"/>
      <c r="J607" s="692"/>
      <c r="K607" s="692"/>
      <c r="L607" s="692"/>
      <c r="M607" s="634"/>
    </row>
    <row r="608" spans="1:13" ht="15.75" x14ac:dyDescent="0.25">
      <c r="A608" s="692"/>
      <c r="B608" s="634"/>
      <c r="C608" s="692"/>
      <c r="D608" s="692"/>
      <c r="E608" s="692"/>
      <c r="G608" s="692"/>
      <c r="H608" s="735"/>
      <c r="I608" s="692"/>
      <c r="J608" s="692"/>
      <c r="K608" s="692"/>
      <c r="L608" s="692"/>
      <c r="M608" s="635"/>
    </row>
    <row r="609" spans="1:13" ht="15.75" x14ac:dyDescent="0.25">
      <c r="A609" s="692"/>
      <c r="B609" s="634"/>
      <c r="C609" s="692"/>
      <c r="D609" s="692"/>
      <c r="E609" s="692"/>
      <c r="G609" s="692"/>
      <c r="H609" s="735"/>
      <c r="I609" s="692"/>
      <c r="J609" s="692"/>
      <c r="K609" s="692"/>
      <c r="L609" s="692"/>
      <c r="M609" s="635"/>
    </row>
    <row r="610" spans="1:13" ht="15.75" x14ac:dyDescent="0.25">
      <c r="A610" s="692"/>
      <c r="B610" s="635"/>
      <c r="C610" s="692"/>
      <c r="D610" s="692"/>
      <c r="E610" s="692"/>
      <c r="G610" s="692"/>
      <c r="H610" s="735"/>
      <c r="I610" s="692"/>
      <c r="J610" s="692"/>
      <c r="K610" s="692"/>
      <c r="L610" s="692"/>
      <c r="M610" s="635"/>
    </row>
    <row r="611" spans="1:13" ht="15.75" x14ac:dyDescent="0.25">
      <c r="A611" s="692"/>
      <c r="B611" s="635"/>
      <c r="C611" s="692"/>
      <c r="D611" s="692"/>
      <c r="E611" s="692"/>
      <c r="G611" s="692"/>
      <c r="H611" s="735"/>
      <c r="I611" s="692"/>
      <c r="J611" s="692"/>
      <c r="K611" s="692"/>
      <c r="L611" s="692"/>
      <c r="M611" s="635"/>
    </row>
    <row r="612" spans="1:13" ht="15.75" x14ac:dyDescent="0.25">
      <c r="A612" s="692"/>
      <c r="B612" s="634"/>
      <c r="C612" s="692"/>
      <c r="D612" s="692"/>
      <c r="E612" s="692"/>
      <c r="G612" s="692"/>
      <c r="H612" s="735"/>
      <c r="I612" s="692"/>
      <c r="J612" s="692"/>
      <c r="K612" s="692"/>
      <c r="L612" s="692"/>
      <c r="M612" s="635"/>
    </row>
    <row r="613" spans="1:13" ht="15.75" x14ac:dyDescent="0.25">
      <c r="A613" s="692"/>
      <c r="B613" s="635"/>
      <c r="C613" s="692"/>
      <c r="D613" s="692"/>
      <c r="E613" s="692"/>
      <c r="G613" s="692"/>
      <c r="H613" s="735"/>
      <c r="I613" s="692"/>
      <c r="J613" s="692"/>
      <c r="K613" s="692"/>
      <c r="L613" s="692"/>
      <c r="M613" s="635"/>
    </row>
    <row r="614" spans="1:13" ht="15.75" x14ac:dyDescent="0.25">
      <c r="A614" s="692"/>
      <c r="B614" s="635"/>
      <c r="C614" s="692"/>
      <c r="D614" s="692"/>
      <c r="E614" s="692"/>
      <c r="G614" s="692"/>
      <c r="H614" s="735"/>
      <c r="I614" s="692"/>
      <c r="J614" s="692"/>
      <c r="K614" s="692"/>
      <c r="L614" s="692"/>
      <c r="M614" s="635"/>
    </row>
    <row r="615" spans="1:13" ht="15.75" x14ac:dyDescent="0.25">
      <c r="A615" s="692"/>
      <c r="B615" s="635"/>
      <c r="C615" s="692"/>
      <c r="D615" s="692"/>
      <c r="E615" s="692"/>
      <c r="G615" s="692"/>
      <c r="H615" s="735"/>
      <c r="I615" s="692"/>
      <c r="J615" s="692"/>
      <c r="K615" s="692"/>
      <c r="L615" s="692"/>
      <c r="M615" s="635"/>
    </row>
    <row r="616" spans="1:13" ht="15.75" x14ac:dyDescent="0.25">
      <c r="A616" s="692"/>
      <c r="B616" s="635"/>
      <c r="C616" s="692"/>
      <c r="D616" s="692"/>
      <c r="E616" s="692"/>
      <c r="G616" s="692"/>
      <c r="H616" s="692"/>
      <c r="I616" s="692"/>
      <c r="J616" s="692"/>
      <c r="K616" s="692"/>
      <c r="L616" s="692"/>
      <c r="M616" s="635"/>
    </row>
    <row r="617" spans="1:13" ht="15.75" x14ac:dyDescent="0.25">
      <c r="A617" s="692"/>
      <c r="B617" s="634"/>
      <c r="C617" s="692"/>
      <c r="D617" s="692"/>
      <c r="E617" s="692"/>
      <c r="G617" s="692"/>
      <c r="H617" s="692"/>
      <c r="I617" s="692"/>
      <c r="J617" s="692"/>
      <c r="K617" s="692"/>
      <c r="L617" s="692"/>
      <c r="M617" s="635"/>
    </row>
    <row r="618" spans="1:13" ht="15.75" x14ac:dyDescent="0.25">
      <c r="A618" s="692"/>
      <c r="B618" s="634"/>
      <c r="C618" s="692"/>
      <c r="D618" s="692"/>
      <c r="E618" s="692"/>
      <c r="G618" s="692"/>
      <c r="H618" s="692"/>
      <c r="I618" s="692"/>
      <c r="J618" s="692"/>
      <c r="K618" s="692"/>
      <c r="L618" s="692"/>
      <c r="M618" s="635"/>
    </row>
    <row r="619" spans="1:13" ht="15.75" x14ac:dyDescent="0.25">
      <c r="A619" s="692"/>
      <c r="B619" s="634"/>
      <c r="C619" s="692"/>
      <c r="D619" s="692"/>
      <c r="E619" s="692"/>
      <c r="G619" s="692"/>
      <c r="H619" s="692"/>
      <c r="I619" s="692"/>
      <c r="J619" s="692"/>
      <c r="K619" s="692"/>
      <c r="L619" s="692"/>
      <c r="M619" s="635"/>
    </row>
    <row r="620" spans="1:13" ht="15.75" x14ac:dyDescent="0.25">
      <c r="A620" s="692"/>
      <c r="B620" s="635"/>
      <c r="C620" s="692"/>
      <c r="D620" s="692"/>
      <c r="E620" s="692"/>
      <c r="G620" s="692"/>
      <c r="H620" s="692"/>
      <c r="I620" s="692"/>
      <c r="J620" s="692"/>
      <c r="K620" s="692"/>
      <c r="L620" s="692"/>
      <c r="M620" s="635"/>
    </row>
    <row r="621" spans="1:13" ht="15.75" x14ac:dyDescent="0.25">
      <c r="A621" s="692"/>
      <c r="B621" s="635"/>
      <c r="C621" s="692"/>
      <c r="D621" s="692"/>
      <c r="E621" s="692"/>
      <c r="G621" s="692"/>
      <c r="H621" s="692"/>
      <c r="I621" s="692"/>
      <c r="J621" s="692"/>
      <c r="K621" s="692"/>
      <c r="L621" s="692"/>
      <c r="M621" s="635"/>
    </row>
    <row r="622" spans="1:13" ht="15.75" x14ac:dyDescent="0.25">
      <c r="A622" s="692"/>
      <c r="B622" s="635"/>
      <c r="C622" s="692"/>
      <c r="D622" s="692"/>
      <c r="E622" s="692"/>
      <c r="G622" s="692"/>
      <c r="H622" s="692"/>
      <c r="I622" s="692"/>
      <c r="J622" s="692"/>
      <c r="K622" s="692"/>
      <c r="L622" s="692"/>
      <c r="M622" s="635"/>
    </row>
    <row r="623" spans="1:13" ht="15.75" x14ac:dyDescent="0.25">
      <c r="A623" s="692"/>
      <c r="B623" s="635"/>
      <c r="C623" s="692"/>
      <c r="D623" s="692"/>
      <c r="E623" s="692"/>
      <c r="G623" s="692"/>
      <c r="H623" s="692"/>
      <c r="I623" s="692"/>
      <c r="J623" s="692"/>
      <c r="K623" s="692"/>
      <c r="L623" s="692"/>
      <c r="M623" s="634"/>
    </row>
    <row r="624" spans="1:13" ht="15.75" x14ac:dyDescent="0.25">
      <c r="A624" s="692"/>
      <c r="B624" s="635"/>
      <c r="C624" s="692"/>
      <c r="D624" s="692"/>
      <c r="E624" s="692"/>
      <c r="G624" s="692"/>
      <c r="H624" s="692"/>
      <c r="I624" s="692"/>
      <c r="J624" s="692"/>
      <c r="K624" s="692"/>
      <c r="L624" s="692"/>
      <c r="M624" s="634"/>
    </row>
    <row r="625" spans="1:13" ht="15.75" x14ac:dyDescent="0.25">
      <c r="A625" s="692"/>
      <c r="B625" s="635"/>
      <c r="C625" s="692"/>
      <c r="D625" s="692"/>
      <c r="E625" s="692"/>
      <c r="G625" s="692"/>
      <c r="H625" s="692"/>
      <c r="I625" s="692"/>
      <c r="J625" s="692"/>
      <c r="K625" s="692"/>
      <c r="L625" s="692"/>
      <c r="M625" s="635"/>
    </row>
    <row r="626" spans="1:13" ht="15.75" x14ac:dyDescent="0.25">
      <c r="A626" s="692"/>
      <c r="B626" s="635"/>
      <c r="C626" s="692"/>
      <c r="D626" s="692"/>
      <c r="E626" s="692"/>
      <c r="G626" s="692"/>
      <c r="H626" s="692"/>
      <c r="I626" s="692"/>
      <c r="J626" s="692"/>
      <c r="K626" s="692"/>
      <c r="L626" s="692"/>
      <c r="M626" s="635"/>
    </row>
    <row r="627" spans="1:13" ht="15.75" x14ac:dyDescent="0.25">
      <c r="A627" s="692"/>
      <c r="B627" s="635"/>
      <c r="C627" s="692"/>
      <c r="D627" s="692"/>
      <c r="E627" s="692"/>
      <c r="G627" s="692"/>
      <c r="H627" s="692"/>
      <c r="I627" s="692"/>
      <c r="J627" s="692"/>
      <c r="K627" s="692"/>
      <c r="L627" s="692"/>
      <c r="M627" s="635"/>
    </row>
    <row r="628" spans="1:13" ht="15.75" x14ac:dyDescent="0.25">
      <c r="A628" s="692"/>
      <c r="B628" s="635"/>
      <c r="C628" s="692"/>
      <c r="D628" s="692"/>
      <c r="E628" s="692"/>
      <c r="G628" s="692"/>
      <c r="H628" s="692"/>
      <c r="I628" s="692"/>
      <c r="J628" s="692"/>
      <c r="K628" s="692"/>
      <c r="L628" s="692"/>
      <c r="M628" s="634"/>
    </row>
    <row r="629" spans="1:13" ht="15.75" x14ac:dyDescent="0.25">
      <c r="A629" s="692"/>
      <c r="B629" s="635"/>
      <c r="C629" s="692"/>
      <c r="D629" s="692"/>
      <c r="E629" s="692"/>
      <c r="G629" s="692"/>
      <c r="H629" s="692"/>
      <c r="I629" s="692"/>
      <c r="J629" s="692"/>
      <c r="K629" s="692"/>
      <c r="L629" s="692"/>
      <c r="M629" s="634"/>
    </row>
    <row r="630" spans="1:13" ht="15.75" x14ac:dyDescent="0.25">
      <c r="A630" s="692"/>
      <c r="B630" s="635"/>
      <c r="C630" s="692"/>
      <c r="D630" s="692"/>
      <c r="E630" s="692"/>
      <c r="G630" s="692"/>
      <c r="H630" s="692"/>
      <c r="I630" s="692"/>
      <c r="J630" s="692"/>
      <c r="K630" s="692"/>
      <c r="L630" s="692"/>
      <c r="M630" s="634"/>
    </row>
    <row r="631" spans="1:13" ht="15.75" x14ac:dyDescent="0.25">
      <c r="A631" s="692"/>
      <c r="B631" s="635"/>
      <c r="C631" s="692"/>
      <c r="D631" s="692"/>
      <c r="E631" s="692"/>
      <c r="G631" s="692"/>
      <c r="H631" s="692"/>
      <c r="I631" s="692"/>
      <c r="J631" s="692"/>
      <c r="K631" s="692"/>
      <c r="L631" s="692"/>
      <c r="M631" s="635"/>
    </row>
    <row r="632" spans="1:13" ht="15.75" x14ac:dyDescent="0.25">
      <c r="A632" s="692"/>
      <c r="B632" s="635"/>
      <c r="C632" s="692"/>
      <c r="D632" s="692"/>
      <c r="E632" s="692"/>
      <c r="G632" s="692"/>
      <c r="H632" s="692"/>
      <c r="I632" s="692"/>
      <c r="J632" s="692"/>
      <c r="K632" s="692"/>
      <c r="L632" s="692"/>
      <c r="M632" s="635"/>
    </row>
    <row r="633" spans="1:13" ht="15.75" x14ac:dyDescent="0.25">
      <c r="A633" s="692"/>
      <c r="B633" s="635"/>
      <c r="C633" s="692"/>
      <c r="D633" s="692"/>
      <c r="E633" s="692"/>
      <c r="G633" s="692"/>
      <c r="H633" s="692"/>
      <c r="I633" s="692"/>
      <c r="J633" s="692"/>
      <c r="K633" s="692"/>
      <c r="L633" s="692"/>
      <c r="M633" s="634"/>
    </row>
    <row r="634" spans="1:13" ht="15.75" x14ac:dyDescent="0.25">
      <c r="A634" s="692"/>
      <c r="B634" s="635"/>
      <c r="C634" s="692"/>
      <c r="D634" s="692"/>
      <c r="E634" s="692"/>
      <c r="G634" s="692"/>
      <c r="H634" s="692"/>
      <c r="I634" s="692"/>
      <c r="J634" s="692"/>
      <c r="K634" s="692"/>
      <c r="L634" s="692"/>
      <c r="M634" s="635"/>
    </row>
    <row r="635" spans="1:13" ht="15.75" x14ac:dyDescent="0.25">
      <c r="A635" s="692"/>
      <c r="B635" s="635"/>
      <c r="C635" s="692"/>
      <c r="D635" s="692"/>
      <c r="E635" s="692"/>
      <c r="G635" s="692"/>
      <c r="H635" s="692"/>
      <c r="I635" s="692"/>
      <c r="J635" s="692"/>
      <c r="K635" s="692"/>
      <c r="L635" s="692"/>
      <c r="M635" s="635"/>
    </row>
    <row r="636" spans="1:13" ht="15.75" x14ac:dyDescent="0.25">
      <c r="A636" s="692"/>
      <c r="B636" s="635"/>
      <c r="C636" s="692"/>
      <c r="D636" s="692"/>
      <c r="E636" s="692"/>
      <c r="G636" s="692"/>
      <c r="H636" s="692"/>
      <c r="I636" s="692"/>
      <c r="J636" s="692"/>
      <c r="K636" s="692"/>
      <c r="L636" s="692"/>
      <c r="M636" s="635"/>
    </row>
    <row r="637" spans="1:13" ht="15.75" x14ac:dyDescent="0.25">
      <c r="A637" s="692"/>
      <c r="B637" s="635"/>
      <c r="C637" s="692"/>
      <c r="D637" s="692"/>
      <c r="E637" s="692"/>
      <c r="G637" s="692"/>
      <c r="H637" s="692"/>
      <c r="I637" s="692"/>
      <c r="J637" s="692"/>
      <c r="K637" s="692"/>
      <c r="L637" s="692"/>
      <c r="M637" s="635"/>
    </row>
    <row r="638" spans="1:13" ht="15.75" x14ac:dyDescent="0.25">
      <c r="A638" s="692"/>
      <c r="B638" s="635"/>
      <c r="C638" s="692"/>
      <c r="D638" s="692"/>
      <c r="E638" s="692"/>
      <c r="G638" s="692"/>
      <c r="H638" s="692"/>
      <c r="I638" s="692"/>
      <c r="J638" s="692"/>
      <c r="K638" s="692"/>
      <c r="L638" s="692"/>
      <c r="M638" s="634"/>
    </row>
    <row r="639" spans="1:13" ht="15.75" x14ac:dyDescent="0.25">
      <c r="A639" s="692"/>
      <c r="B639" s="635"/>
      <c r="C639" s="692"/>
      <c r="D639" s="692"/>
      <c r="E639" s="692"/>
      <c r="G639" s="692"/>
      <c r="H639" s="692"/>
      <c r="I639" s="692"/>
      <c r="J639" s="692"/>
      <c r="K639" s="692"/>
      <c r="L639" s="692"/>
      <c r="M639" s="634"/>
    </row>
    <row r="640" spans="1:13" ht="15.75" x14ac:dyDescent="0.25">
      <c r="A640" s="692"/>
      <c r="B640" s="635"/>
      <c r="C640" s="692"/>
      <c r="D640" s="692"/>
      <c r="E640" s="692"/>
      <c r="G640" s="692"/>
      <c r="H640" s="692"/>
      <c r="I640" s="692"/>
      <c r="J640" s="692"/>
      <c r="K640" s="692"/>
      <c r="L640" s="692"/>
      <c r="M640" s="634"/>
    </row>
    <row r="641" spans="1:13" ht="15.75" x14ac:dyDescent="0.25">
      <c r="A641" s="692"/>
      <c r="B641" s="635"/>
      <c r="C641" s="692"/>
      <c r="D641" s="692"/>
      <c r="E641" s="692"/>
      <c r="G641" s="692"/>
      <c r="H641" s="692"/>
      <c r="I641" s="692"/>
      <c r="J641" s="692"/>
      <c r="K641" s="692"/>
      <c r="L641" s="692"/>
      <c r="M641" s="635"/>
    </row>
    <row r="642" spans="1:13" ht="15.75" x14ac:dyDescent="0.25">
      <c r="A642" s="692"/>
      <c r="B642" s="635"/>
      <c r="C642" s="692"/>
      <c r="D642" s="692"/>
      <c r="E642" s="692"/>
      <c r="G642" s="692"/>
      <c r="H642" s="692"/>
      <c r="I642" s="692"/>
      <c r="J642" s="692"/>
      <c r="K642" s="692"/>
      <c r="L642" s="692"/>
      <c r="M642" s="635"/>
    </row>
    <row r="643" spans="1:13" ht="15.75" x14ac:dyDescent="0.25">
      <c r="A643" s="692"/>
      <c r="B643" s="635"/>
      <c r="C643" s="692"/>
      <c r="D643" s="692"/>
      <c r="E643" s="692"/>
      <c r="G643" s="692"/>
      <c r="H643" s="692"/>
      <c r="I643" s="692"/>
      <c r="J643" s="692"/>
      <c r="K643" s="692"/>
      <c r="L643" s="692"/>
      <c r="M643" s="635"/>
    </row>
    <row r="644" spans="1:13" ht="15.75" x14ac:dyDescent="0.25">
      <c r="A644" s="692"/>
      <c r="B644" s="635"/>
      <c r="C644" s="692"/>
      <c r="D644" s="692"/>
      <c r="E644" s="692"/>
      <c r="G644" s="692"/>
      <c r="H644" s="692"/>
      <c r="I644" s="692"/>
      <c r="J644" s="692"/>
      <c r="K644" s="692"/>
      <c r="L644" s="692"/>
      <c r="M644" s="635"/>
    </row>
    <row r="645" spans="1:13" ht="15.75" x14ac:dyDescent="0.25">
      <c r="A645" s="692"/>
      <c r="B645" s="635"/>
      <c r="C645" s="692"/>
      <c r="D645" s="692"/>
      <c r="E645" s="692"/>
      <c r="G645" s="692"/>
      <c r="H645" s="692"/>
      <c r="I645" s="692"/>
      <c r="J645" s="692"/>
      <c r="K645" s="692"/>
      <c r="L645" s="692"/>
      <c r="M645" s="635"/>
    </row>
    <row r="646" spans="1:13" ht="15.75" x14ac:dyDescent="0.25">
      <c r="A646" s="692"/>
      <c r="B646" s="635"/>
      <c r="C646" s="692"/>
      <c r="D646" s="692"/>
      <c r="E646" s="692"/>
      <c r="G646" s="692"/>
      <c r="H646" s="692"/>
      <c r="I646" s="692"/>
      <c r="J646" s="692"/>
      <c r="K646" s="692"/>
      <c r="L646" s="692"/>
      <c r="M646" s="635"/>
    </row>
    <row r="647" spans="1:13" ht="15.75" x14ac:dyDescent="0.25">
      <c r="A647" s="692"/>
      <c r="B647" s="635"/>
      <c r="C647" s="692"/>
      <c r="D647" s="692"/>
      <c r="E647" s="692"/>
      <c r="G647" s="692"/>
      <c r="H647" s="692"/>
      <c r="I647" s="692"/>
      <c r="J647" s="692"/>
      <c r="K647" s="692"/>
      <c r="L647" s="692"/>
      <c r="M647" s="635"/>
    </row>
    <row r="648" spans="1:13" ht="15.75" x14ac:dyDescent="0.25">
      <c r="A648" s="692"/>
      <c r="B648" s="635"/>
      <c r="C648" s="692"/>
      <c r="D648" s="692"/>
      <c r="E648" s="692"/>
      <c r="G648" s="692"/>
      <c r="H648" s="692"/>
      <c r="I648" s="692"/>
      <c r="J648" s="692"/>
      <c r="K648" s="692"/>
      <c r="L648" s="692"/>
      <c r="M648" s="635"/>
    </row>
    <row r="649" spans="1:13" ht="15.75" x14ac:dyDescent="0.25">
      <c r="A649" s="692"/>
      <c r="B649" s="635"/>
      <c r="C649" s="692"/>
      <c r="D649" s="692"/>
      <c r="E649" s="692"/>
      <c r="G649" s="692"/>
      <c r="H649" s="692"/>
      <c r="I649" s="692"/>
      <c r="J649" s="692"/>
      <c r="K649" s="692"/>
      <c r="L649" s="692"/>
      <c r="M649" s="635"/>
    </row>
    <row r="650" spans="1:13" ht="15.75" x14ac:dyDescent="0.25">
      <c r="A650" s="692"/>
      <c r="B650" s="635"/>
      <c r="C650" s="692"/>
      <c r="D650" s="692"/>
      <c r="E650" s="692"/>
      <c r="G650" s="692"/>
      <c r="H650" s="692"/>
      <c r="I650" s="692"/>
      <c r="J650" s="692"/>
      <c r="K650" s="692"/>
      <c r="L650" s="692"/>
      <c r="M650" s="635"/>
    </row>
    <row r="651" spans="1:13" ht="15.75" x14ac:dyDescent="0.25">
      <c r="A651" s="692"/>
      <c r="B651" s="635"/>
      <c r="C651" s="692"/>
      <c r="D651" s="692"/>
      <c r="E651" s="692"/>
      <c r="G651" s="692"/>
      <c r="H651" s="692"/>
      <c r="I651" s="692"/>
      <c r="J651" s="692"/>
      <c r="K651" s="692"/>
      <c r="L651" s="692"/>
      <c r="M651" s="635"/>
    </row>
    <row r="652" spans="1:13" ht="15.75" x14ac:dyDescent="0.25">
      <c r="A652" s="692"/>
      <c r="B652" s="635"/>
      <c r="C652" s="692"/>
      <c r="D652" s="692"/>
      <c r="E652" s="692"/>
      <c r="G652" s="692"/>
      <c r="H652" s="692"/>
      <c r="I652" s="692"/>
      <c r="J652" s="692"/>
      <c r="K652" s="692"/>
      <c r="L652" s="692"/>
      <c r="M652" s="635"/>
    </row>
    <row r="653" spans="1:13" ht="15.75" x14ac:dyDescent="0.25">
      <c r="A653" s="692"/>
      <c r="B653" s="635"/>
      <c r="C653" s="692"/>
      <c r="D653" s="692"/>
      <c r="E653" s="692"/>
      <c r="G653" s="692"/>
      <c r="H653" s="692"/>
      <c r="I653" s="692"/>
      <c r="J653" s="692"/>
      <c r="K653" s="692"/>
      <c r="L653" s="692"/>
      <c r="M653" s="635"/>
    </row>
    <row r="654" spans="1:13" ht="15.75" x14ac:dyDescent="0.25">
      <c r="A654" s="692"/>
      <c r="B654" s="635"/>
      <c r="C654" s="692"/>
      <c r="D654" s="692"/>
      <c r="E654" s="692"/>
      <c r="G654" s="692"/>
      <c r="H654" s="692"/>
      <c r="I654" s="692"/>
      <c r="J654" s="692"/>
      <c r="K654" s="692"/>
      <c r="L654" s="692"/>
      <c r="M654" s="635"/>
    </row>
    <row r="655" spans="1:13" ht="15.75" x14ac:dyDescent="0.25">
      <c r="A655" s="692"/>
      <c r="B655" s="635"/>
      <c r="C655" s="692"/>
      <c r="D655" s="692"/>
      <c r="E655" s="692"/>
      <c r="G655" s="692"/>
      <c r="H655" s="692"/>
      <c r="I655" s="692"/>
      <c r="J655" s="692"/>
      <c r="K655" s="692"/>
      <c r="L655" s="692"/>
      <c r="M655" s="635"/>
    </row>
    <row r="656" spans="1:13" ht="15.75" x14ac:dyDescent="0.25">
      <c r="A656" s="692"/>
      <c r="B656" s="635"/>
      <c r="C656" s="692"/>
      <c r="D656" s="692"/>
      <c r="E656" s="692"/>
      <c r="G656" s="692"/>
      <c r="H656" s="692"/>
      <c r="I656" s="692"/>
      <c r="J656" s="692"/>
      <c r="K656" s="692"/>
      <c r="L656" s="692"/>
      <c r="M656" s="635"/>
    </row>
    <row r="657" spans="1:13" ht="15.75" x14ac:dyDescent="0.25">
      <c r="A657" s="692"/>
      <c r="B657" s="635"/>
      <c r="C657" s="692"/>
      <c r="D657" s="692"/>
      <c r="E657" s="692"/>
      <c r="G657" s="692"/>
      <c r="H657" s="692"/>
      <c r="I657" s="692"/>
      <c r="J657" s="692"/>
      <c r="K657" s="692"/>
      <c r="L657" s="692"/>
      <c r="M657" s="635"/>
    </row>
    <row r="658" spans="1:13" ht="15.75" x14ac:dyDescent="0.25">
      <c r="A658" s="692"/>
      <c r="B658" s="635"/>
      <c r="C658" s="692"/>
      <c r="D658" s="692"/>
      <c r="E658" s="692"/>
      <c r="G658" s="692"/>
      <c r="H658" s="692"/>
      <c r="I658" s="692"/>
      <c r="J658" s="692"/>
      <c r="K658" s="692"/>
      <c r="L658" s="692"/>
      <c r="M658" s="635"/>
    </row>
    <row r="659" spans="1:13" ht="15.75" x14ac:dyDescent="0.25">
      <c r="A659" s="692"/>
      <c r="B659" s="635"/>
      <c r="C659" s="692"/>
      <c r="D659" s="692"/>
      <c r="E659" s="692"/>
      <c r="G659" s="692"/>
      <c r="H659" s="692"/>
      <c r="I659" s="692"/>
      <c r="J659" s="692"/>
      <c r="K659" s="692"/>
      <c r="L659" s="692"/>
      <c r="M659" s="635"/>
    </row>
    <row r="660" spans="1:13" ht="15.75" x14ac:dyDescent="0.25">
      <c r="A660" s="692"/>
      <c r="B660" s="635"/>
      <c r="C660" s="692"/>
      <c r="D660" s="692"/>
      <c r="E660" s="692"/>
      <c r="G660" s="692"/>
      <c r="H660" s="692"/>
      <c r="I660" s="692"/>
      <c r="J660" s="692"/>
      <c r="K660" s="692"/>
      <c r="L660" s="692"/>
      <c r="M660" s="635"/>
    </row>
    <row r="661" spans="1:13" ht="15.75" x14ac:dyDescent="0.25">
      <c r="A661" s="692"/>
      <c r="B661" s="635"/>
      <c r="C661" s="692"/>
      <c r="D661" s="692"/>
      <c r="E661" s="692"/>
      <c r="G661" s="692"/>
      <c r="H661" s="692"/>
      <c r="I661" s="692"/>
      <c r="J661" s="692"/>
      <c r="K661" s="692"/>
      <c r="L661" s="692"/>
      <c r="M661" s="635"/>
    </row>
    <row r="662" spans="1:13" ht="15.75" x14ac:dyDescent="0.25">
      <c r="A662" s="692"/>
      <c r="B662" s="635"/>
      <c r="C662" s="692"/>
      <c r="D662" s="692"/>
      <c r="E662" s="692"/>
      <c r="G662" s="692"/>
      <c r="H662" s="692"/>
      <c r="I662" s="692"/>
      <c r="J662" s="692"/>
      <c r="K662" s="692"/>
      <c r="L662" s="692"/>
      <c r="M662" s="635"/>
    </row>
    <row r="663" spans="1:13" ht="15.75" x14ac:dyDescent="0.25">
      <c r="A663" s="692"/>
      <c r="B663" s="635"/>
      <c r="C663" s="692"/>
      <c r="D663" s="692"/>
      <c r="E663" s="692"/>
      <c r="G663" s="692"/>
      <c r="H663" s="692"/>
      <c r="I663" s="692"/>
      <c r="J663" s="692"/>
      <c r="K663" s="692"/>
      <c r="L663" s="692"/>
      <c r="M663" s="635"/>
    </row>
    <row r="664" spans="1:13" ht="15.75" x14ac:dyDescent="0.25">
      <c r="A664" s="692"/>
      <c r="B664" s="635"/>
      <c r="C664" s="692"/>
      <c r="D664" s="692"/>
      <c r="E664" s="692"/>
      <c r="G664" s="692"/>
      <c r="H664" s="692"/>
      <c r="I664" s="692"/>
      <c r="J664" s="692"/>
      <c r="K664" s="692"/>
      <c r="L664" s="692"/>
      <c r="M664" s="635"/>
    </row>
    <row r="665" spans="1:13" ht="15.75" x14ac:dyDescent="0.25">
      <c r="A665" s="692"/>
      <c r="B665" s="635"/>
      <c r="C665" s="692"/>
      <c r="D665" s="692"/>
      <c r="E665" s="692"/>
      <c r="G665" s="692"/>
      <c r="H665" s="692"/>
      <c r="I665" s="692"/>
      <c r="J665" s="692"/>
      <c r="K665" s="692"/>
      <c r="L665" s="692"/>
      <c r="M665" s="635"/>
    </row>
    <row r="666" spans="1:13" ht="15.75" x14ac:dyDescent="0.25">
      <c r="A666" s="692"/>
      <c r="B666" s="635"/>
      <c r="C666" s="692"/>
      <c r="D666" s="692"/>
      <c r="E666" s="692"/>
      <c r="G666" s="692"/>
      <c r="H666" s="692"/>
      <c r="I666" s="692"/>
      <c r="J666" s="692"/>
      <c r="K666" s="692"/>
      <c r="L666" s="692"/>
      <c r="M666" s="635"/>
    </row>
    <row r="667" spans="1:13" ht="15.75" x14ac:dyDescent="0.25">
      <c r="A667" s="692"/>
      <c r="B667" s="635"/>
      <c r="C667" s="692"/>
      <c r="D667" s="692"/>
      <c r="E667" s="692"/>
      <c r="G667" s="692"/>
      <c r="H667" s="692"/>
      <c r="I667" s="692"/>
      <c r="J667" s="692"/>
      <c r="K667" s="692"/>
      <c r="L667" s="692"/>
      <c r="M667" s="635"/>
    </row>
    <row r="668" spans="1:13" ht="15.75" x14ac:dyDescent="0.25">
      <c r="A668" s="692"/>
      <c r="B668" s="634"/>
      <c r="C668" s="692"/>
      <c r="D668" s="692"/>
      <c r="E668" s="692"/>
      <c r="G668" s="692"/>
      <c r="H668" s="692"/>
      <c r="I668" s="692"/>
      <c r="J668" s="692"/>
      <c r="K668" s="692"/>
      <c r="L668" s="692"/>
      <c r="M668" s="635"/>
    </row>
    <row r="669" spans="1:13" ht="15.75" x14ac:dyDescent="0.25">
      <c r="A669" s="692"/>
      <c r="B669" s="635"/>
      <c r="C669" s="692"/>
      <c r="D669" s="692"/>
      <c r="E669" s="692"/>
      <c r="G669" s="692"/>
      <c r="H669" s="692"/>
      <c r="I669" s="692"/>
      <c r="J669" s="692"/>
      <c r="K669" s="692"/>
      <c r="L669" s="692"/>
      <c r="M669" s="635"/>
    </row>
    <row r="670" spans="1:13" ht="15.75" x14ac:dyDescent="0.25">
      <c r="A670" s="692"/>
      <c r="B670" s="635"/>
      <c r="C670" s="692"/>
      <c r="D670" s="692"/>
      <c r="E670" s="692"/>
      <c r="G670" s="692"/>
      <c r="H670" s="692"/>
      <c r="I670" s="692"/>
      <c r="J670" s="692"/>
      <c r="K670" s="692"/>
      <c r="L670" s="692"/>
      <c r="M670" s="635"/>
    </row>
    <row r="671" spans="1:13" ht="15.75" x14ac:dyDescent="0.25">
      <c r="A671" s="692"/>
      <c r="B671" s="635"/>
      <c r="C671" s="692"/>
      <c r="D671" s="692"/>
      <c r="E671" s="692"/>
      <c r="G671" s="692"/>
      <c r="H671" s="692"/>
      <c r="I671" s="692"/>
      <c r="J671" s="692"/>
      <c r="K671" s="692"/>
      <c r="L671" s="692"/>
      <c r="M671" s="635"/>
    </row>
    <row r="672" spans="1:13" ht="15.75" x14ac:dyDescent="0.25">
      <c r="A672" s="692"/>
      <c r="B672" s="635"/>
      <c r="C672" s="692"/>
      <c r="D672" s="692"/>
      <c r="E672" s="692"/>
      <c r="G672" s="692"/>
      <c r="H672" s="692"/>
      <c r="I672" s="692"/>
      <c r="J672" s="692"/>
      <c r="K672" s="692"/>
      <c r="L672" s="692"/>
      <c r="M672" s="635"/>
    </row>
    <row r="673" spans="1:13" ht="15.75" x14ac:dyDescent="0.25">
      <c r="A673" s="692"/>
      <c r="B673" s="635"/>
      <c r="C673" s="692"/>
      <c r="D673" s="692"/>
      <c r="E673" s="692"/>
      <c r="G673" s="692"/>
      <c r="H673" s="692"/>
      <c r="I673" s="692"/>
      <c r="J673" s="692"/>
      <c r="K673" s="692"/>
      <c r="L673" s="692"/>
      <c r="M673" s="635"/>
    </row>
    <row r="674" spans="1:13" ht="15.75" x14ac:dyDescent="0.25">
      <c r="A674" s="692"/>
      <c r="B674" s="635"/>
      <c r="C674" s="692"/>
      <c r="D674" s="692"/>
      <c r="E674" s="692"/>
      <c r="G674" s="692"/>
      <c r="H674" s="692"/>
      <c r="I674" s="692"/>
      <c r="J674" s="692"/>
      <c r="K674" s="692"/>
      <c r="L674" s="692"/>
      <c r="M674" s="635"/>
    </row>
    <row r="675" spans="1:13" ht="15.75" x14ac:dyDescent="0.25">
      <c r="A675" s="692"/>
      <c r="B675" s="635"/>
      <c r="C675" s="692"/>
      <c r="D675" s="692"/>
      <c r="E675" s="692"/>
      <c r="G675" s="692"/>
      <c r="H675" s="692"/>
      <c r="I675" s="692"/>
      <c r="J675" s="692"/>
      <c r="K675" s="692"/>
      <c r="L675" s="692"/>
      <c r="M675" s="635"/>
    </row>
    <row r="676" spans="1:13" ht="15.75" x14ac:dyDescent="0.25">
      <c r="A676" s="692"/>
      <c r="B676" s="635"/>
      <c r="C676" s="692"/>
      <c r="D676" s="692"/>
      <c r="E676" s="692"/>
      <c r="G676" s="692"/>
      <c r="H676" s="692"/>
      <c r="I676" s="692"/>
      <c r="J676" s="692"/>
      <c r="K676" s="692"/>
      <c r="L676" s="692"/>
      <c r="M676" s="635"/>
    </row>
    <row r="677" spans="1:13" ht="15.75" x14ac:dyDescent="0.25">
      <c r="A677" s="692"/>
      <c r="B677" s="635"/>
      <c r="C677" s="692"/>
      <c r="D677" s="692"/>
      <c r="E677" s="692"/>
      <c r="G677" s="692"/>
      <c r="H677" s="692"/>
      <c r="I677" s="692"/>
      <c r="J677" s="692"/>
      <c r="K677" s="692"/>
      <c r="L677" s="692"/>
      <c r="M677" s="635"/>
    </row>
    <row r="678" spans="1:13" ht="15.75" x14ac:dyDescent="0.25">
      <c r="A678" s="692"/>
      <c r="B678" s="635"/>
      <c r="C678" s="692"/>
      <c r="D678" s="692"/>
      <c r="E678" s="692"/>
      <c r="G678" s="692"/>
      <c r="H678" s="692"/>
      <c r="I678" s="692"/>
      <c r="J678" s="692"/>
      <c r="K678" s="692"/>
      <c r="L678" s="692"/>
      <c r="M678" s="635"/>
    </row>
    <row r="679" spans="1:13" ht="15.75" x14ac:dyDescent="0.25">
      <c r="A679" s="692"/>
      <c r="B679" s="635"/>
      <c r="C679" s="692"/>
      <c r="D679" s="692"/>
      <c r="E679" s="692"/>
      <c r="G679" s="692"/>
      <c r="H679" s="692"/>
      <c r="I679" s="692"/>
      <c r="J679" s="692"/>
      <c r="K679" s="692"/>
      <c r="L679" s="692"/>
      <c r="M679" s="635"/>
    </row>
    <row r="680" spans="1:13" ht="15.75" x14ac:dyDescent="0.25">
      <c r="A680" s="692"/>
      <c r="B680" s="635"/>
      <c r="C680" s="692"/>
      <c r="D680" s="692"/>
      <c r="E680" s="692"/>
      <c r="G680" s="692"/>
      <c r="H680" s="692"/>
      <c r="I680" s="692"/>
      <c r="J680" s="692"/>
      <c r="K680" s="692"/>
      <c r="L680" s="692"/>
      <c r="M680" s="635"/>
    </row>
    <row r="681" spans="1:13" ht="15.75" x14ac:dyDescent="0.25">
      <c r="A681" s="692"/>
      <c r="B681" s="635"/>
      <c r="C681" s="692"/>
      <c r="D681" s="692"/>
      <c r="E681" s="692"/>
      <c r="G681" s="692"/>
      <c r="H681" s="692"/>
      <c r="I681" s="692"/>
      <c r="J681" s="692"/>
      <c r="K681" s="692"/>
      <c r="L681" s="692"/>
      <c r="M681" s="635"/>
    </row>
    <row r="682" spans="1:13" ht="15.75" x14ac:dyDescent="0.25">
      <c r="A682" s="692"/>
      <c r="B682" s="635"/>
      <c r="C682" s="692"/>
      <c r="D682" s="692"/>
      <c r="E682" s="692"/>
      <c r="G682" s="692"/>
      <c r="H682" s="692"/>
      <c r="I682" s="692"/>
      <c r="J682" s="692"/>
      <c r="K682" s="692"/>
      <c r="L682" s="692"/>
      <c r="M682" s="635"/>
    </row>
    <row r="683" spans="1:13" ht="15.75" x14ac:dyDescent="0.25">
      <c r="A683" s="692"/>
      <c r="B683" s="635"/>
      <c r="C683" s="692"/>
      <c r="D683" s="692"/>
      <c r="E683" s="692"/>
      <c r="G683" s="692"/>
      <c r="H683" s="692"/>
      <c r="I683" s="692"/>
      <c r="J683" s="692"/>
      <c r="K683" s="692"/>
      <c r="L683" s="692"/>
      <c r="M683" s="635"/>
    </row>
    <row r="684" spans="1:13" ht="15.75" x14ac:dyDescent="0.25">
      <c r="A684" s="692"/>
      <c r="B684" s="635"/>
      <c r="C684" s="692"/>
      <c r="D684" s="692"/>
      <c r="E684" s="692"/>
      <c r="G684" s="692"/>
      <c r="H684" s="692"/>
      <c r="I684" s="692"/>
      <c r="J684" s="692"/>
      <c r="K684" s="692"/>
      <c r="L684" s="692"/>
      <c r="M684" s="635"/>
    </row>
    <row r="685" spans="1:13" ht="15.75" x14ac:dyDescent="0.25">
      <c r="A685" s="692"/>
      <c r="B685" s="635"/>
      <c r="C685" s="692"/>
      <c r="D685" s="692"/>
      <c r="E685" s="692"/>
      <c r="G685" s="692"/>
      <c r="H685" s="692"/>
      <c r="I685" s="692"/>
      <c r="J685" s="692"/>
      <c r="K685" s="692"/>
      <c r="L685" s="692"/>
      <c r="M685" s="635"/>
    </row>
    <row r="686" spans="1:13" ht="15.75" x14ac:dyDescent="0.25">
      <c r="A686" s="692"/>
      <c r="B686" s="635"/>
      <c r="C686" s="692"/>
      <c r="D686" s="692"/>
      <c r="E686" s="692"/>
      <c r="G686" s="692"/>
      <c r="H686" s="692"/>
      <c r="I686" s="692"/>
      <c r="J686" s="692"/>
      <c r="K686" s="692"/>
      <c r="L686" s="692"/>
      <c r="M686" s="635"/>
    </row>
    <row r="687" spans="1:13" ht="15.75" x14ac:dyDescent="0.25">
      <c r="A687" s="692"/>
      <c r="B687" s="635"/>
      <c r="C687" s="692"/>
      <c r="D687" s="692"/>
      <c r="E687" s="692"/>
      <c r="G687" s="692"/>
      <c r="H687" s="692"/>
      <c r="I687" s="692"/>
      <c r="J687" s="692"/>
      <c r="K687" s="692"/>
      <c r="L687" s="692"/>
      <c r="M687" s="635"/>
    </row>
    <row r="688" spans="1:13" ht="15.75" x14ac:dyDescent="0.25">
      <c r="A688" s="692"/>
      <c r="B688" s="635"/>
      <c r="C688" s="692"/>
      <c r="D688" s="692"/>
      <c r="E688" s="692"/>
      <c r="G688" s="692"/>
      <c r="H688" s="692"/>
      <c r="I688" s="692"/>
      <c r="J688" s="692"/>
      <c r="K688" s="692"/>
      <c r="L688" s="692"/>
      <c r="M688" s="635"/>
    </row>
    <row r="689" spans="1:13" ht="15.75" x14ac:dyDescent="0.25">
      <c r="A689" s="692"/>
      <c r="B689" s="635"/>
      <c r="C689" s="692"/>
      <c r="D689" s="692"/>
      <c r="E689" s="692"/>
      <c r="G689" s="692"/>
      <c r="H689" s="692"/>
      <c r="I689" s="692"/>
      <c r="J689" s="692"/>
      <c r="K689" s="692"/>
      <c r="L689" s="692"/>
      <c r="M689" s="634"/>
    </row>
    <row r="690" spans="1:13" ht="15.75" x14ac:dyDescent="0.25">
      <c r="A690" s="692"/>
      <c r="B690" s="635"/>
      <c r="C690" s="692"/>
      <c r="D690" s="692"/>
      <c r="E690" s="692"/>
      <c r="G690" s="692"/>
      <c r="H690" s="692"/>
      <c r="I690" s="692"/>
      <c r="J690" s="692"/>
      <c r="K690" s="692"/>
      <c r="L690" s="692"/>
      <c r="M690" s="635"/>
    </row>
    <row r="691" spans="1:13" ht="15.75" x14ac:dyDescent="0.25">
      <c r="A691" s="692"/>
      <c r="B691" s="635"/>
      <c r="C691" s="692"/>
      <c r="D691" s="692"/>
      <c r="E691" s="692"/>
      <c r="G691" s="692"/>
      <c r="H691" s="692"/>
      <c r="I691" s="692"/>
      <c r="J691" s="692"/>
      <c r="K691" s="692"/>
      <c r="L691" s="692"/>
      <c r="M691" s="635"/>
    </row>
    <row r="692" spans="1:13" ht="15.75" x14ac:dyDescent="0.25">
      <c r="A692" s="692"/>
      <c r="B692" s="635"/>
      <c r="C692" s="692"/>
      <c r="D692" s="692"/>
      <c r="E692" s="692"/>
      <c r="G692" s="692"/>
      <c r="H692" s="692"/>
      <c r="I692" s="692"/>
      <c r="J692" s="692"/>
      <c r="K692" s="692"/>
      <c r="L692" s="692"/>
      <c r="M692" s="635"/>
    </row>
    <row r="693" spans="1:13" ht="15.75" x14ac:dyDescent="0.25">
      <c r="A693" s="692"/>
      <c r="B693" s="635"/>
      <c r="C693" s="692"/>
      <c r="D693" s="692"/>
      <c r="E693" s="692"/>
      <c r="G693" s="692"/>
      <c r="H693" s="692"/>
      <c r="I693" s="692"/>
      <c r="J693" s="692"/>
      <c r="K693" s="692"/>
      <c r="L693" s="692"/>
      <c r="M693" s="635"/>
    </row>
    <row r="694" spans="1:13" ht="15.75" x14ac:dyDescent="0.25">
      <c r="A694" s="692"/>
      <c r="B694" s="635"/>
      <c r="C694" s="692"/>
      <c r="D694" s="692"/>
      <c r="E694" s="692"/>
      <c r="G694" s="692"/>
      <c r="H694" s="692"/>
      <c r="I694" s="692"/>
      <c r="J694" s="692"/>
      <c r="K694" s="692"/>
      <c r="L694" s="692"/>
      <c r="M694" s="635"/>
    </row>
    <row r="695" spans="1:13" ht="15.75" x14ac:dyDescent="0.25">
      <c r="A695" s="692"/>
      <c r="B695" s="635"/>
      <c r="C695" s="692"/>
      <c r="D695" s="692"/>
      <c r="E695" s="692"/>
      <c r="G695" s="692"/>
      <c r="H695" s="692"/>
      <c r="I695" s="692"/>
      <c r="J695" s="692"/>
      <c r="K695" s="692"/>
      <c r="L695" s="692"/>
      <c r="M695" s="635"/>
    </row>
    <row r="696" spans="1:13" ht="15.75" x14ac:dyDescent="0.25">
      <c r="A696" s="692"/>
      <c r="B696" s="634"/>
      <c r="C696" s="692"/>
      <c r="D696" s="692"/>
      <c r="E696" s="692"/>
      <c r="G696" s="692"/>
      <c r="H696" s="692"/>
      <c r="I696" s="692"/>
      <c r="J696" s="692"/>
      <c r="K696" s="692"/>
      <c r="L696" s="692"/>
      <c r="M696" s="635"/>
    </row>
    <row r="697" spans="1:13" ht="15.75" x14ac:dyDescent="0.25">
      <c r="A697" s="692"/>
      <c r="B697" s="635"/>
      <c r="C697" s="692"/>
      <c r="D697" s="692"/>
      <c r="E697" s="692"/>
      <c r="G697" s="692"/>
      <c r="H697" s="692"/>
      <c r="I697" s="692"/>
      <c r="J697" s="692"/>
      <c r="K697" s="692"/>
      <c r="L697" s="692"/>
      <c r="M697" s="635"/>
    </row>
    <row r="698" spans="1:13" ht="15.75" x14ac:dyDescent="0.25">
      <c r="A698" s="692"/>
      <c r="B698" s="635"/>
      <c r="C698" s="692"/>
      <c r="D698" s="692"/>
      <c r="E698" s="692"/>
      <c r="G698" s="692"/>
      <c r="H698" s="692"/>
      <c r="I698" s="692"/>
      <c r="J698" s="692"/>
      <c r="K698" s="692"/>
      <c r="L698" s="692"/>
      <c r="M698" s="635"/>
    </row>
    <row r="699" spans="1:13" ht="15.75" x14ac:dyDescent="0.25">
      <c r="A699" s="692"/>
      <c r="B699" s="635"/>
      <c r="C699" s="692"/>
      <c r="D699" s="692"/>
      <c r="E699" s="692"/>
      <c r="G699" s="692"/>
      <c r="H699" s="692"/>
      <c r="I699" s="692"/>
      <c r="J699" s="692"/>
      <c r="K699" s="692"/>
      <c r="L699" s="692"/>
      <c r="M699" s="635"/>
    </row>
    <row r="700" spans="1:13" ht="15.75" x14ac:dyDescent="0.25">
      <c r="A700" s="692"/>
      <c r="B700" s="635"/>
      <c r="C700" s="692"/>
      <c r="D700" s="692"/>
      <c r="E700" s="692"/>
      <c r="G700" s="692"/>
      <c r="H700" s="692"/>
      <c r="I700" s="692"/>
      <c r="J700" s="692"/>
      <c r="K700" s="692"/>
      <c r="L700" s="692"/>
      <c r="M700" s="635"/>
    </row>
    <row r="701" spans="1:13" ht="15.75" x14ac:dyDescent="0.25">
      <c r="A701" s="692"/>
      <c r="B701" s="635"/>
      <c r="C701" s="692"/>
      <c r="D701" s="692"/>
      <c r="E701" s="692"/>
      <c r="G701" s="692"/>
      <c r="H701" s="692"/>
      <c r="I701" s="692"/>
      <c r="J701" s="692"/>
      <c r="K701" s="692"/>
      <c r="L701" s="692"/>
      <c r="M701" s="635"/>
    </row>
    <row r="702" spans="1:13" ht="15.75" x14ac:dyDescent="0.25">
      <c r="A702" s="692"/>
      <c r="B702" s="635"/>
      <c r="C702" s="692"/>
      <c r="D702" s="692"/>
      <c r="E702" s="692"/>
      <c r="G702" s="692"/>
      <c r="H702" s="692"/>
      <c r="I702" s="692"/>
      <c r="J702" s="692"/>
      <c r="K702" s="692"/>
      <c r="L702" s="692"/>
      <c r="M702" s="635"/>
    </row>
    <row r="703" spans="1:13" ht="15.75" x14ac:dyDescent="0.25">
      <c r="A703" s="692"/>
      <c r="B703" s="635"/>
      <c r="C703" s="692"/>
      <c r="D703" s="692"/>
      <c r="E703" s="692"/>
      <c r="G703" s="692"/>
      <c r="H703" s="692"/>
      <c r="I703" s="692"/>
      <c r="J703" s="692"/>
      <c r="K703" s="692"/>
      <c r="L703" s="692"/>
      <c r="M703" s="635"/>
    </row>
    <row r="704" spans="1:13" ht="15.75" x14ac:dyDescent="0.25">
      <c r="A704" s="692"/>
      <c r="B704" s="635"/>
      <c r="C704" s="692"/>
      <c r="D704" s="692"/>
      <c r="E704" s="692"/>
      <c r="G704" s="692"/>
      <c r="H704" s="692"/>
      <c r="I704" s="692"/>
      <c r="J704" s="692"/>
      <c r="K704" s="692"/>
      <c r="L704" s="692"/>
      <c r="M704" s="635"/>
    </row>
    <row r="705" spans="1:13" ht="15.75" x14ac:dyDescent="0.25">
      <c r="A705" s="692"/>
      <c r="B705" s="635"/>
      <c r="C705" s="692"/>
      <c r="D705" s="692"/>
      <c r="E705" s="692"/>
      <c r="G705" s="692"/>
      <c r="H705" s="692"/>
      <c r="I705" s="692"/>
      <c r="J705" s="692"/>
      <c r="K705" s="692"/>
      <c r="L705" s="692"/>
      <c r="M705" s="635"/>
    </row>
    <row r="706" spans="1:13" ht="15.75" x14ac:dyDescent="0.25">
      <c r="A706" s="692"/>
      <c r="B706" s="635"/>
      <c r="C706" s="692"/>
      <c r="D706" s="692"/>
      <c r="E706" s="692"/>
      <c r="G706" s="692"/>
      <c r="H706" s="692"/>
      <c r="I706" s="692"/>
      <c r="J706" s="692"/>
      <c r="K706" s="692"/>
      <c r="L706" s="692"/>
      <c r="M706" s="635"/>
    </row>
    <row r="707" spans="1:13" ht="15.75" x14ac:dyDescent="0.25">
      <c r="A707" s="692"/>
      <c r="B707" s="635"/>
      <c r="C707" s="692"/>
      <c r="D707" s="692"/>
      <c r="E707" s="692"/>
      <c r="G707" s="692"/>
      <c r="H707" s="692"/>
      <c r="I707" s="692"/>
      <c r="J707" s="692"/>
      <c r="K707" s="692"/>
      <c r="L707" s="692"/>
      <c r="M707" s="635"/>
    </row>
    <row r="708" spans="1:13" ht="15.75" x14ac:dyDescent="0.25">
      <c r="A708" s="692"/>
      <c r="B708" s="635"/>
      <c r="C708" s="692"/>
      <c r="D708" s="692"/>
      <c r="E708" s="692"/>
      <c r="G708" s="692"/>
      <c r="H708" s="692"/>
      <c r="I708" s="692"/>
      <c r="J708" s="692"/>
      <c r="K708" s="692"/>
      <c r="L708" s="692"/>
      <c r="M708" s="635"/>
    </row>
    <row r="709" spans="1:13" ht="15.75" x14ac:dyDescent="0.25">
      <c r="A709" s="692"/>
      <c r="B709" s="635"/>
      <c r="C709" s="692"/>
      <c r="D709" s="692"/>
      <c r="E709" s="692"/>
      <c r="G709" s="692"/>
      <c r="H709" s="692"/>
      <c r="I709" s="692"/>
      <c r="J709" s="692"/>
      <c r="K709" s="692"/>
      <c r="L709" s="692"/>
      <c r="M709" s="635"/>
    </row>
    <row r="710" spans="1:13" ht="15.75" x14ac:dyDescent="0.25">
      <c r="A710" s="692"/>
      <c r="B710" s="634"/>
      <c r="C710" s="692"/>
      <c r="D710" s="692"/>
      <c r="E710" s="692"/>
      <c r="G710" s="692"/>
      <c r="H710" s="692"/>
      <c r="I710" s="692"/>
      <c r="J710" s="692"/>
      <c r="K710" s="692"/>
      <c r="L710" s="692"/>
      <c r="M710" s="635"/>
    </row>
    <row r="711" spans="1:13" ht="15.75" x14ac:dyDescent="0.25">
      <c r="A711" s="692"/>
      <c r="B711" s="635"/>
      <c r="C711" s="692"/>
      <c r="D711" s="692"/>
      <c r="E711" s="692"/>
      <c r="G711" s="692"/>
      <c r="H711" s="692"/>
      <c r="I711" s="692"/>
      <c r="J711" s="692"/>
      <c r="K711" s="692"/>
      <c r="L711" s="692"/>
      <c r="M711" s="635"/>
    </row>
    <row r="712" spans="1:13" ht="15.75" x14ac:dyDescent="0.25">
      <c r="A712" s="692"/>
      <c r="B712" s="635"/>
      <c r="C712" s="692"/>
      <c r="D712" s="692"/>
      <c r="E712" s="692"/>
      <c r="G712" s="692"/>
      <c r="H712" s="692"/>
      <c r="I712" s="692"/>
      <c r="J712" s="692"/>
      <c r="K712" s="692"/>
      <c r="L712" s="692"/>
      <c r="M712" s="635"/>
    </row>
    <row r="713" spans="1:13" ht="15.75" x14ac:dyDescent="0.25">
      <c r="A713" s="692"/>
      <c r="B713" s="635"/>
      <c r="C713" s="692"/>
      <c r="D713" s="692"/>
      <c r="E713" s="692"/>
      <c r="G713" s="692"/>
      <c r="H713" s="692"/>
      <c r="I713" s="692"/>
      <c r="J713" s="692"/>
      <c r="K713" s="692"/>
      <c r="L713" s="692"/>
      <c r="M713" s="635"/>
    </row>
    <row r="714" spans="1:13" ht="15.75" x14ac:dyDescent="0.25">
      <c r="A714" s="692"/>
      <c r="B714" s="635"/>
      <c r="C714" s="692"/>
      <c r="D714" s="692"/>
      <c r="E714" s="692"/>
      <c r="G714" s="692"/>
      <c r="H714" s="692"/>
      <c r="I714" s="692"/>
      <c r="J714" s="692"/>
      <c r="K714" s="692"/>
      <c r="L714" s="692"/>
      <c r="M714" s="635"/>
    </row>
    <row r="715" spans="1:13" ht="15.75" x14ac:dyDescent="0.25">
      <c r="A715" s="692"/>
      <c r="B715" s="634"/>
      <c r="C715" s="692"/>
      <c r="D715" s="692"/>
      <c r="E715" s="692"/>
      <c r="G715" s="692"/>
      <c r="H715" s="692"/>
      <c r="I715" s="692"/>
      <c r="J715" s="692"/>
      <c r="K715" s="692"/>
      <c r="L715" s="692"/>
      <c r="M715" s="635"/>
    </row>
    <row r="716" spans="1:13" ht="15.75" x14ac:dyDescent="0.25">
      <c r="A716" s="692"/>
      <c r="B716" s="635"/>
      <c r="C716" s="692"/>
      <c r="D716" s="692"/>
      <c r="E716" s="692"/>
      <c r="G716" s="692"/>
      <c r="H716" s="692"/>
      <c r="I716" s="692"/>
      <c r="J716" s="692"/>
      <c r="K716" s="692"/>
      <c r="L716" s="692"/>
      <c r="M716" s="635"/>
    </row>
    <row r="717" spans="1:13" ht="15.75" x14ac:dyDescent="0.25">
      <c r="A717" s="692"/>
      <c r="B717" s="635"/>
      <c r="C717" s="692"/>
      <c r="D717" s="692"/>
      <c r="E717" s="692"/>
      <c r="G717" s="692"/>
      <c r="H717" s="692"/>
      <c r="I717" s="692"/>
      <c r="J717" s="692"/>
      <c r="K717" s="692"/>
      <c r="L717" s="692"/>
      <c r="M717" s="634"/>
    </row>
    <row r="718" spans="1:13" ht="15.75" x14ac:dyDescent="0.25">
      <c r="A718" s="692"/>
      <c r="B718" s="634"/>
      <c r="C718" s="692"/>
      <c r="D718" s="692"/>
      <c r="E718" s="692"/>
      <c r="G718" s="692"/>
      <c r="H718" s="692"/>
      <c r="I718" s="692"/>
      <c r="J718" s="692"/>
      <c r="K718" s="692"/>
      <c r="L718" s="692"/>
      <c r="M718" s="635"/>
    </row>
    <row r="719" spans="1:13" ht="15.75" x14ac:dyDescent="0.25">
      <c r="A719" s="692"/>
      <c r="B719" s="635"/>
      <c r="C719" s="692"/>
      <c r="D719" s="692"/>
      <c r="E719" s="692"/>
      <c r="G719" s="692"/>
      <c r="H719" s="692"/>
      <c r="I719" s="692"/>
      <c r="J719" s="692"/>
      <c r="K719" s="692"/>
      <c r="L719" s="692"/>
      <c r="M719" s="635"/>
    </row>
    <row r="720" spans="1:13" ht="15.75" x14ac:dyDescent="0.25">
      <c r="A720" s="692"/>
      <c r="B720" s="635"/>
      <c r="C720" s="692"/>
      <c r="D720" s="692"/>
      <c r="E720" s="692"/>
      <c r="G720" s="692"/>
      <c r="H720" s="692"/>
      <c r="I720" s="692"/>
      <c r="J720" s="692"/>
      <c r="K720" s="692"/>
      <c r="L720" s="692"/>
      <c r="M720" s="635"/>
    </row>
    <row r="721" spans="1:13" ht="15.75" x14ac:dyDescent="0.25">
      <c r="A721" s="692"/>
      <c r="B721" s="635"/>
      <c r="C721" s="692"/>
      <c r="D721" s="692"/>
      <c r="E721" s="692"/>
      <c r="G721" s="692"/>
      <c r="H721" s="692"/>
      <c r="I721" s="692"/>
      <c r="J721" s="692"/>
      <c r="K721" s="692"/>
      <c r="L721" s="692"/>
      <c r="M721" s="635"/>
    </row>
    <row r="722" spans="1:13" ht="15.75" x14ac:dyDescent="0.25">
      <c r="A722" s="692"/>
      <c r="B722" s="635"/>
      <c r="C722" s="692"/>
      <c r="D722" s="692"/>
      <c r="E722" s="692"/>
      <c r="G722" s="692"/>
      <c r="H722" s="692"/>
      <c r="I722" s="692"/>
      <c r="J722" s="692"/>
      <c r="K722" s="692"/>
      <c r="L722" s="692"/>
      <c r="M722" s="635"/>
    </row>
    <row r="723" spans="1:13" ht="15.75" x14ac:dyDescent="0.25">
      <c r="A723" s="692"/>
      <c r="B723" s="635"/>
      <c r="C723" s="692"/>
      <c r="D723" s="692"/>
      <c r="E723" s="692"/>
      <c r="G723" s="692"/>
      <c r="H723" s="692"/>
      <c r="I723" s="692"/>
      <c r="J723" s="692"/>
      <c r="K723" s="692"/>
      <c r="L723" s="692"/>
      <c r="M723" s="635"/>
    </row>
    <row r="724" spans="1:13" ht="15.75" x14ac:dyDescent="0.25">
      <c r="A724" s="692"/>
      <c r="B724" s="635"/>
      <c r="C724" s="692"/>
      <c r="D724" s="692"/>
      <c r="E724" s="692"/>
      <c r="G724" s="692"/>
      <c r="H724" s="692"/>
      <c r="I724" s="692"/>
      <c r="J724" s="692"/>
      <c r="K724" s="692"/>
      <c r="L724" s="692"/>
      <c r="M724" s="635"/>
    </row>
    <row r="725" spans="1:13" ht="15.75" x14ac:dyDescent="0.25">
      <c r="A725" s="692"/>
      <c r="B725" s="635"/>
      <c r="C725" s="692"/>
      <c r="D725" s="692"/>
      <c r="E725" s="692"/>
      <c r="G725" s="692"/>
      <c r="H725" s="692"/>
      <c r="I725" s="692"/>
      <c r="J725" s="692"/>
      <c r="K725" s="692"/>
      <c r="L725" s="692"/>
      <c r="M725" s="635"/>
    </row>
    <row r="726" spans="1:13" ht="15.75" x14ac:dyDescent="0.25">
      <c r="A726" s="692"/>
      <c r="B726" s="635"/>
      <c r="C726" s="692"/>
      <c r="D726" s="692"/>
      <c r="E726" s="692"/>
      <c r="G726" s="692"/>
      <c r="H726" s="692"/>
      <c r="I726" s="692"/>
      <c r="J726" s="692"/>
      <c r="K726" s="692"/>
      <c r="L726" s="692"/>
      <c r="M726" s="635"/>
    </row>
    <row r="727" spans="1:13" ht="15.75" x14ac:dyDescent="0.25">
      <c r="A727" s="692"/>
      <c r="B727" s="635"/>
      <c r="C727" s="692"/>
      <c r="D727" s="692"/>
      <c r="E727" s="692"/>
      <c r="G727" s="692"/>
      <c r="H727" s="692"/>
      <c r="I727" s="692"/>
      <c r="J727" s="692"/>
      <c r="K727" s="692"/>
      <c r="L727" s="692"/>
      <c r="M727" s="635"/>
    </row>
    <row r="728" spans="1:13" ht="15.75" x14ac:dyDescent="0.25">
      <c r="A728" s="692"/>
      <c r="B728" s="635"/>
      <c r="C728" s="692"/>
      <c r="D728" s="692"/>
      <c r="E728" s="692"/>
      <c r="G728" s="692"/>
      <c r="H728" s="692"/>
      <c r="I728" s="692"/>
      <c r="J728" s="692"/>
      <c r="K728" s="692"/>
      <c r="L728" s="692"/>
      <c r="M728" s="635"/>
    </row>
    <row r="729" spans="1:13" ht="15.75" x14ac:dyDescent="0.25">
      <c r="A729" s="692"/>
      <c r="B729" s="635"/>
      <c r="C729" s="692"/>
      <c r="D729" s="692"/>
      <c r="E729" s="692"/>
      <c r="G729" s="692"/>
      <c r="H729" s="692"/>
      <c r="I729" s="692"/>
      <c r="J729" s="692"/>
      <c r="K729" s="692"/>
      <c r="L729" s="692"/>
      <c r="M729" s="635"/>
    </row>
    <row r="730" spans="1:13" ht="15.75" x14ac:dyDescent="0.25">
      <c r="A730" s="692"/>
      <c r="B730" s="635"/>
      <c r="C730" s="692"/>
      <c r="D730" s="692"/>
      <c r="E730" s="692"/>
      <c r="G730" s="692"/>
      <c r="H730" s="692"/>
      <c r="I730" s="692"/>
      <c r="J730" s="692"/>
      <c r="K730" s="692"/>
      <c r="L730" s="692"/>
      <c r="M730" s="635"/>
    </row>
    <row r="731" spans="1:13" ht="15.75" x14ac:dyDescent="0.25">
      <c r="A731" s="692"/>
      <c r="B731" s="635"/>
      <c r="C731" s="692"/>
      <c r="D731" s="692"/>
      <c r="E731" s="692"/>
      <c r="G731" s="692"/>
      <c r="H731" s="692"/>
      <c r="I731" s="692"/>
      <c r="J731" s="692"/>
      <c r="K731" s="692"/>
      <c r="L731" s="692"/>
      <c r="M731" s="634"/>
    </row>
    <row r="732" spans="1:13" ht="15.75" x14ac:dyDescent="0.25">
      <c r="A732" s="692"/>
      <c r="B732" s="635"/>
      <c r="C732" s="692"/>
      <c r="D732" s="692"/>
      <c r="E732" s="692"/>
      <c r="G732" s="692"/>
      <c r="H732" s="692"/>
      <c r="I732" s="692"/>
      <c r="J732" s="692"/>
      <c r="K732" s="692"/>
      <c r="L732" s="692"/>
      <c r="M732" s="635"/>
    </row>
    <row r="733" spans="1:13" ht="15.75" x14ac:dyDescent="0.25">
      <c r="A733" s="692"/>
      <c r="B733" s="635"/>
      <c r="C733" s="692"/>
      <c r="D733" s="692"/>
      <c r="E733" s="692"/>
      <c r="G733" s="692"/>
      <c r="H733" s="692"/>
      <c r="I733" s="692"/>
      <c r="J733" s="692"/>
      <c r="K733" s="692"/>
      <c r="L733" s="692"/>
      <c r="M733" s="635"/>
    </row>
    <row r="734" spans="1:13" ht="15.75" x14ac:dyDescent="0.25">
      <c r="A734" s="692"/>
      <c r="B734" s="634"/>
      <c r="C734" s="692"/>
      <c r="D734" s="692"/>
      <c r="E734" s="692"/>
      <c r="G734" s="692"/>
      <c r="H734" s="692"/>
      <c r="I734" s="692"/>
      <c r="J734" s="692"/>
      <c r="K734" s="692"/>
      <c r="L734" s="692"/>
      <c r="M734" s="635"/>
    </row>
    <row r="735" spans="1:13" ht="15.75" x14ac:dyDescent="0.25">
      <c r="A735" s="692"/>
      <c r="B735" s="634"/>
      <c r="C735" s="692"/>
      <c r="D735" s="692"/>
      <c r="E735" s="692"/>
      <c r="G735" s="692"/>
      <c r="H735" s="692"/>
      <c r="I735" s="692"/>
      <c r="J735" s="692"/>
      <c r="K735" s="692"/>
      <c r="L735" s="692"/>
      <c r="M735" s="635"/>
    </row>
    <row r="736" spans="1:13" ht="15.75" x14ac:dyDescent="0.25">
      <c r="A736" s="692"/>
      <c r="B736" s="635"/>
      <c r="C736" s="692"/>
      <c r="D736" s="692"/>
      <c r="E736" s="692"/>
      <c r="G736" s="692"/>
      <c r="H736" s="692"/>
      <c r="I736" s="692"/>
      <c r="J736" s="692"/>
      <c r="K736" s="692"/>
      <c r="L736" s="692"/>
      <c r="M736" s="634"/>
    </row>
    <row r="737" spans="1:13" ht="15.75" x14ac:dyDescent="0.25">
      <c r="A737" s="692"/>
      <c r="B737" s="635"/>
      <c r="C737" s="692"/>
      <c r="D737" s="692"/>
      <c r="E737" s="692"/>
      <c r="G737" s="692"/>
      <c r="H737" s="692"/>
      <c r="I737" s="692"/>
      <c r="J737" s="692"/>
      <c r="K737" s="692"/>
      <c r="L737" s="692"/>
      <c r="M737" s="635"/>
    </row>
    <row r="738" spans="1:13" ht="15.75" x14ac:dyDescent="0.25">
      <c r="A738" s="692"/>
      <c r="B738" s="634"/>
      <c r="C738" s="692"/>
      <c r="D738" s="692"/>
      <c r="E738" s="692"/>
      <c r="G738" s="692"/>
      <c r="H738" s="692"/>
      <c r="I738" s="692"/>
      <c r="J738" s="692"/>
      <c r="K738" s="692"/>
      <c r="L738" s="692"/>
      <c r="M738" s="635"/>
    </row>
    <row r="739" spans="1:13" ht="15.75" x14ac:dyDescent="0.25">
      <c r="A739" s="692"/>
      <c r="B739" s="634"/>
      <c r="C739" s="692"/>
      <c r="D739" s="692"/>
      <c r="E739" s="692"/>
      <c r="G739" s="692"/>
      <c r="H739" s="692"/>
      <c r="I739" s="692"/>
      <c r="J739" s="692"/>
      <c r="K739" s="692"/>
      <c r="L739" s="692"/>
      <c r="M739" s="634"/>
    </row>
    <row r="740" spans="1:13" ht="15.75" x14ac:dyDescent="0.25">
      <c r="A740" s="692"/>
      <c r="B740" s="635"/>
      <c r="C740" s="692"/>
      <c r="D740" s="692"/>
      <c r="E740" s="692"/>
      <c r="G740" s="692"/>
      <c r="H740" s="692"/>
      <c r="I740" s="692"/>
      <c r="J740" s="692"/>
      <c r="K740" s="692"/>
      <c r="L740" s="692"/>
      <c r="M740" s="635"/>
    </row>
    <row r="741" spans="1:13" ht="15.75" x14ac:dyDescent="0.25">
      <c r="A741" s="692"/>
      <c r="B741" s="635"/>
      <c r="C741" s="692"/>
      <c r="D741" s="692"/>
      <c r="E741" s="692"/>
      <c r="G741" s="692"/>
      <c r="H741" s="692"/>
      <c r="I741" s="692"/>
      <c r="J741" s="692"/>
      <c r="K741" s="692"/>
      <c r="L741" s="692"/>
      <c r="M741" s="635"/>
    </row>
    <row r="742" spans="1:13" ht="15.75" x14ac:dyDescent="0.25">
      <c r="A742" s="692"/>
      <c r="B742" s="635"/>
      <c r="C742" s="692"/>
      <c r="D742" s="692"/>
      <c r="E742" s="692"/>
      <c r="G742" s="692"/>
      <c r="H742" s="692"/>
      <c r="I742" s="692"/>
      <c r="J742" s="692"/>
      <c r="K742" s="692"/>
      <c r="L742" s="692"/>
      <c r="M742" s="635"/>
    </row>
    <row r="743" spans="1:13" ht="15.75" x14ac:dyDescent="0.25">
      <c r="A743" s="692"/>
      <c r="B743" s="635"/>
      <c r="C743" s="692"/>
      <c r="D743" s="692"/>
      <c r="E743" s="692"/>
      <c r="G743" s="692"/>
      <c r="H743" s="692"/>
      <c r="I743" s="692"/>
      <c r="J743" s="692"/>
      <c r="K743" s="692"/>
      <c r="L743" s="692"/>
      <c r="M743" s="635"/>
    </row>
    <row r="744" spans="1:13" ht="15.75" x14ac:dyDescent="0.25">
      <c r="A744" s="692"/>
      <c r="B744" s="635"/>
      <c r="C744" s="692"/>
      <c r="D744" s="692"/>
      <c r="E744" s="692"/>
      <c r="G744" s="692"/>
      <c r="H744" s="692"/>
      <c r="I744" s="692"/>
      <c r="J744" s="692"/>
      <c r="K744" s="692"/>
      <c r="L744" s="692"/>
      <c r="M744" s="635"/>
    </row>
    <row r="745" spans="1:13" ht="15.75" x14ac:dyDescent="0.25">
      <c r="A745" s="692"/>
      <c r="B745" s="635"/>
      <c r="C745" s="692"/>
      <c r="D745" s="692"/>
      <c r="E745" s="692"/>
      <c r="G745" s="692"/>
      <c r="H745" s="692"/>
      <c r="I745" s="692"/>
      <c r="J745" s="692"/>
      <c r="K745" s="692"/>
      <c r="L745" s="692"/>
      <c r="M745" s="635"/>
    </row>
    <row r="746" spans="1:13" ht="15.75" x14ac:dyDescent="0.25">
      <c r="A746" s="692"/>
      <c r="B746" s="635"/>
      <c r="C746" s="692"/>
      <c r="D746" s="692"/>
      <c r="E746" s="692"/>
      <c r="G746" s="692"/>
      <c r="H746" s="692"/>
      <c r="I746" s="692"/>
      <c r="J746" s="692"/>
      <c r="K746" s="692"/>
      <c r="L746" s="692"/>
      <c r="M746" s="635"/>
    </row>
    <row r="747" spans="1:13" ht="15.75" x14ac:dyDescent="0.25">
      <c r="A747" s="692"/>
      <c r="B747" s="635"/>
      <c r="C747" s="692"/>
      <c r="D747" s="692"/>
      <c r="E747" s="692"/>
      <c r="G747" s="692"/>
      <c r="H747" s="692"/>
      <c r="I747" s="692"/>
      <c r="J747" s="692"/>
      <c r="K747" s="692"/>
      <c r="L747" s="692"/>
      <c r="M747" s="635"/>
    </row>
    <row r="748" spans="1:13" ht="15.75" x14ac:dyDescent="0.25">
      <c r="A748" s="692"/>
      <c r="B748" s="635"/>
      <c r="C748" s="692"/>
      <c r="D748" s="692"/>
      <c r="E748" s="692"/>
      <c r="G748" s="692"/>
      <c r="H748" s="692"/>
      <c r="I748" s="692"/>
      <c r="J748" s="692"/>
      <c r="K748" s="692"/>
      <c r="L748" s="692"/>
      <c r="M748" s="635"/>
    </row>
    <row r="749" spans="1:13" ht="15.75" x14ac:dyDescent="0.25">
      <c r="A749" s="692"/>
      <c r="B749" s="635"/>
      <c r="C749" s="692"/>
      <c r="D749" s="692"/>
      <c r="E749" s="692"/>
      <c r="G749" s="692"/>
      <c r="H749" s="692"/>
      <c r="I749" s="692"/>
      <c r="J749" s="692"/>
      <c r="K749" s="692"/>
      <c r="L749" s="692"/>
      <c r="M749" s="635"/>
    </row>
    <row r="750" spans="1:13" ht="15.75" x14ac:dyDescent="0.25">
      <c r="A750" s="692"/>
      <c r="B750" s="635"/>
      <c r="C750" s="692"/>
      <c r="D750" s="692"/>
      <c r="E750" s="692"/>
      <c r="G750" s="692"/>
      <c r="H750" s="692"/>
      <c r="I750" s="692"/>
      <c r="J750" s="692"/>
      <c r="K750" s="692"/>
      <c r="L750" s="692"/>
      <c r="M750" s="635"/>
    </row>
    <row r="751" spans="1:13" ht="15.75" x14ac:dyDescent="0.25">
      <c r="A751" s="692"/>
      <c r="B751" s="635"/>
      <c r="C751" s="692"/>
      <c r="D751" s="692"/>
      <c r="E751" s="692"/>
      <c r="G751" s="692"/>
      <c r="H751" s="692"/>
      <c r="I751" s="692"/>
      <c r="J751" s="692"/>
      <c r="K751" s="692"/>
      <c r="L751" s="692"/>
      <c r="M751" s="635"/>
    </row>
    <row r="752" spans="1:13" ht="15.75" x14ac:dyDescent="0.25">
      <c r="A752" s="692"/>
      <c r="B752" s="635"/>
      <c r="C752" s="692"/>
      <c r="D752" s="692"/>
      <c r="E752" s="692"/>
      <c r="G752" s="692"/>
      <c r="H752" s="692"/>
      <c r="I752" s="692"/>
      <c r="J752" s="692"/>
      <c r="K752" s="692"/>
      <c r="L752" s="692"/>
      <c r="M752" s="635"/>
    </row>
    <row r="753" spans="1:13" ht="15.75" x14ac:dyDescent="0.25">
      <c r="A753" s="692"/>
      <c r="B753" s="635"/>
      <c r="C753" s="692"/>
      <c r="D753" s="692"/>
      <c r="E753" s="692"/>
      <c r="G753" s="692"/>
      <c r="H753" s="692"/>
      <c r="I753" s="692"/>
      <c r="J753" s="692"/>
      <c r="K753" s="692"/>
      <c r="L753" s="692"/>
      <c r="M753" s="635"/>
    </row>
    <row r="754" spans="1:13" ht="15.75" x14ac:dyDescent="0.25">
      <c r="A754" s="692"/>
      <c r="B754" s="635"/>
      <c r="C754" s="692"/>
      <c r="D754" s="692"/>
      <c r="E754" s="692"/>
      <c r="G754" s="692"/>
      <c r="H754" s="692"/>
      <c r="I754" s="692"/>
      <c r="J754" s="692"/>
      <c r="K754" s="692"/>
      <c r="L754" s="692"/>
      <c r="M754" s="635"/>
    </row>
    <row r="755" spans="1:13" ht="15.75" x14ac:dyDescent="0.25">
      <c r="A755" s="692"/>
      <c r="B755" s="635"/>
      <c r="C755" s="692"/>
      <c r="D755" s="692"/>
      <c r="E755" s="692"/>
      <c r="G755" s="692"/>
      <c r="H755" s="692"/>
      <c r="I755" s="692"/>
      <c r="J755" s="692"/>
      <c r="K755" s="692"/>
      <c r="L755" s="692"/>
      <c r="M755" s="634"/>
    </row>
    <row r="756" spans="1:13" ht="15.75" x14ac:dyDescent="0.25">
      <c r="A756" s="692"/>
      <c r="B756" s="635"/>
      <c r="C756" s="692"/>
      <c r="D756" s="692"/>
      <c r="E756" s="692"/>
      <c r="G756" s="692"/>
      <c r="H756" s="692"/>
      <c r="I756" s="692"/>
      <c r="J756" s="692"/>
      <c r="K756" s="692"/>
      <c r="L756" s="692"/>
      <c r="M756" s="634"/>
    </row>
    <row r="757" spans="1:13" ht="15.75" x14ac:dyDescent="0.25">
      <c r="A757" s="692"/>
      <c r="B757" s="635"/>
      <c r="C757" s="692"/>
      <c r="D757" s="692"/>
      <c r="E757" s="692"/>
      <c r="G757" s="692"/>
      <c r="H757" s="692"/>
      <c r="I757" s="692"/>
      <c r="J757" s="692"/>
      <c r="K757" s="692"/>
      <c r="L757" s="692"/>
      <c r="M757" s="635"/>
    </row>
    <row r="758" spans="1:13" ht="15.75" x14ac:dyDescent="0.25">
      <c r="A758" s="692"/>
      <c r="B758" s="635"/>
      <c r="C758" s="692"/>
      <c r="D758" s="692"/>
      <c r="E758" s="692"/>
      <c r="G758" s="692"/>
      <c r="H758" s="692"/>
      <c r="I758" s="692"/>
      <c r="J758" s="692"/>
      <c r="K758" s="692"/>
      <c r="L758" s="692"/>
      <c r="M758" s="635"/>
    </row>
    <row r="759" spans="1:13" ht="15.75" x14ac:dyDescent="0.25">
      <c r="A759" s="692"/>
      <c r="B759" s="634"/>
      <c r="C759" s="692"/>
      <c r="D759" s="692"/>
      <c r="E759" s="692"/>
      <c r="G759" s="692"/>
      <c r="H759" s="692"/>
      <c r="I759" s="692"/>
      <c r="J759" s="692"/>
      <c r="K759" s="692"/>
      <c r="L759" s="692"/>
      <c r="M759" s="634"/>
    </row>
    <row r="760" spans="1:13" ht="15.75" x14ac:dyDescent="0.25">
      <c r="A760" s="692"/>
      <c r="B760" s="634"/>
      <c r="C760" s="692"/>
      <c r="D760" s="692"/>
      <c r="E760" s="692"/>
      <c r="G760" s="692"/>
      <c r="H760" s="692"/>
      <c r="I760" s="692"/>
      <c r="J760" s="692"/>
      <c r="K760" s="692"/>
      <c r="L760" s="692"/>
      <c r="M760" s="634"/>
    </row>
    <row r="761" spans="1:13" ht="15.75" x14ac:dyDescent="0.25">
      <c r="A761" s="692"/>
      <c r="B761" s="635"/>
      <c r="C761" s="692"/>
      <c r="D761" s="692"/>
      <c r="E761" s="692"/>
      <c r="G761" s="692"/>
      <c r="H761" s="692"/>
      <c r="I761" s="692"/>
      <c r="J761" s="692"/>
      <c r="K761" s="692"/>
      <c r="L761" s="692"/>
      <c r="M761" s="635"/>
    </row>
    <row r="762" spans="1:13" ht="15.75" x14ac:dyDescent="0.25">
      <c r="A762" s="692"/>
      <c r="B762" s="635"/>
      <c r="C762" s="692"/>
      <c r="D762" s="692"/>
      <c r="E762" s="692"/>
      <c r="G762" s="692"/>
      <c r="H762" s="692"/>
      <c r="I762" s="692"/>
      <c r="J762" s="692"/>
      <c r="K762" s="692"/>
      <c r="L762" s="692"/>
      <c r="M762" s="635"/>
    </row>
    <row r="763" spans="1:13" ht="15.75" x14ac:dyDescent="0.25">
      <c r="A763" s="692"/>
      <c r="B763" s="692"/>
      <c r="C763" s="692"/>
      <c r="D763" s="692"/>
      <c r="E763" s="692"/>
      <c r="G763" s="692"/>
      <c r="H763" s="692"/>
      <c r="I763" s="692"/>
      <c r="J763" s="692"/>
      <c r="K763" s="692"/>
      <c r="L763" s="692"/>
      <c r="M763" s="635"/>
    </row>
    <row r="764" spans="1:13" ht="15.75" x14ac:dyDescent="0.25">
      <c r="A764" s="692"/>
      <c r="B764" s="692"/>
      <c r="C764" s="692"/>
      <c r="D764" s="692"/>
      <c r="E764" s="692"/>
      <c r="G764" s="692"/>
      <c r="H764" s="692"/>
      <c r="I764" s="692"/>
      <c r="J764" s="692"/>
      <c r="K764" s="692"/>
      <c r="L764" s="692"/>
      <c r="M764" s="635"/>
    </row>
    <row r="765" spans="1:13" ht="15.75" x14ac:dyDescent="0.25">
      <c r="A765" s="692"/>
      <c r="B765" s="692"/>
      <c r="C765" s="692"/>
      <c r="D765" s="692"/>
      <c r="E765" s="692"/>
      <c r="G765" s="692"/>
      <c r="H765" s="692"/>
      <c r="I765" s="692"/>
      <c r="J765" s="692"/>
      <c r="K765" s="692"/>
      <c r="L765" s="692"/>
      <c r="M765" s="635"/>
    </row>
    <row r="766" spans="1:13" ht="15.75" x14ac:dyDescent="0.25">
      <c r="A766" s="692"/>
      <c r="B766" s="692"/>
      <c r="C766" s="692"/>
      <c r="D766" s="692"/>
      <c r="E766" s="692"/>
      <c r="G766" s="692"/>
      <c r="H766" s="692"/>
      <c r="I766" s="692"/>
      <c r="J766" s="692"/>
      <c r="K766" s="692"/>
      <c r="L766" s="692"/>
      <c r="M766" s="635"/>
    </row>
    <row r="767" spans="1:13" ht="15.75" x14ac:dyDescent="0.25">
      <c r="A767" s="692"/>
      <c r="B767" s="692"/>
      <c r="C767" s="692"/>
      <c r="D767" s="692"/>
      <c r="E767" s="692"/>
      <c r="G767" s="692"/>
      <c r="H767" s="692"/>
      <c r="I767" s="692"/>
      <c r="J767" s="692"/>
      <c r="K767" s="692"/>
      <c r="L767" s="692"/>
      <c r="M767" s="635"/>
    </row>
    <row r="768" spans="1:13" ht="15.75" x14ac:dyDescent="0.25">
      <c r="A768" s="692"/>
      <c r="B768" s="692"/>
      <c r="C768" s="692"/>
      <c r="D768" s="692"/>
      <c r="E768" s="692"/>
      <c r="G768" s="692"/>
      <c r="H768" s="692"/>
      <c r="I768" s="692"/>
      <c r="J768" s="692"/>
      <c r="K768" s="692"/>
      <c r="L768" s="692"/>
      <c r="M768" s="635"/>
    </row>
    <row r="769" spans="1:13" ht="15.75" x14ac:dyDescent="0.25">
      <c r="A769" s="692"/>
      <c r="B769" s="692"/>
      <c r="C769" s="692"/>
      <c r="D769" s="692"/>
      <c r="E769" s="692"/>
      <c r="G769" s="692"/>
      <c r="H769" s="692"/>
      <c r="I769" s="692"/>
      <c r="J769" s="692"/>
      <c r="K769" s="692"/>
      <c r="L769" s="692"/>
      <c r="M769" s="635"/>
    </row>
    <row r="770" spans="1:13" ht="15.75" x14ac:dyDescent="0.25">
      <c r="A770" s="692"/>
      <c r="B770" s="692"/>
      <c r="C770" s="692"/>
      <c r="D770" s="692"/>
      <c r="E770" s="692"/>
      <c r="G770" s="692"/>
      <c r="H770" s="692"/>
      <c r="I770" s="692"/>
      <c r="J770" s="692"/>
      <c r="K770" s="692"/>
      <c r="L770" s="692"/>
      <c r="M770" s="635"/>
    </row>
    <row r="771" spans="1:13" ht="15.75" x14ac:dyDescent="0.25">
      <c r="A771" s="692"/>
      <c r="B771" s="692"/>
      <c r="C771" s="692"/>
      <c r="D771" s="692"/>
      <c r="E771" s="692"/>
      <c r="G771" s="692"/>
      <c r="H771" s="692"/>
      <c r="I771" s="692"/>
      <c r="J771" s="692"/>
      <c r="K771" s="692"/>
      <c r="L771" s="692"/>
      <c r="M771" s="635"/>
    </row>
    <row r="772" spans="1:13" ht="15.75" x14ac:dyDescent="0.25">
      <c r="A772" s="692"/>
      <c r="B772" s="692"/>
      <c r="C772" s="692"/>
      <c r="D772" s="692"/>
      <c r="E772" s="692"/>
      <c r="G772" s="692"/>
      <c r="H772" s="692"/>
      <c r="I772" s="692"/>
      <c r="J772" s="692"/>
      <c r="K772" s="692"/>
      <c r="L772" s="692"/>
      <c r="M772" s="635"/>
    </row>
    <row r="773" spans="1:13" ht="15.75" x14ac:dyDescent="0.25">
      <c r="A773" s="692"/>
      <c r="B773" s="692"/>
      <c r="C773" s="692"/>
      <c r="D773" s="692"/>
      <c r="E773" s="692"/>
      <c r="G773" s="692"/>
      <c r="H773" s="692"/>
      <c r="I773" s="692"/>
      <c r="J773" s="692"/>
      <c r="K773" s="692"/>
      <c r="L773" s="692"/>
      <c r="M773" s="635"/>
    </row>
    <row r="774" spans="1:13" ht="15.75" x14ac:dyDescent="0.25">
      <c r="A774" s="692"/>
      <c r="B774" s="692"/>
      <c r="C774" s="692"/>
      <c r="D774" s="692"/>
      <c r="E774" s="692"/>
      <c r="G774" s="692"/>
      <c r="H774" s="692"/>
      <c r="I774" s="692"/>
      <c r="J774" s="692"/>
      <c r="K774" s="692"/>
      <c r="L774" s="692"/>
      <c r="M774" s="635"/>
    </row>
    <row r="775" spans="1:13" ht="15.75" x14ac:dyDescent="0.25">
      <c r="A775" s="692"/>
      <c r="B775" s="692"/>
      <c r="C775" s="692"/>
      <c r="D775" s="692"/>
      <c r="E775" s="692"/>
      <c r="G775" s="692"/>
      <c r="H775" s="692"/>
      <c r="I775" s="692"/>
      <c r="J775" s="692"/>
      <c r="K775" s="692"/>
      <c r="L775" s="692"/>
      <c r="M775" s="635"/>
    </row>
    <row r="776" spans="1:13" ht="15.75" x14ac:dyDescent="0.25">
      <c r="A776" s="692"/>
      <c r="B776" s="692"/>
      <c r="C776" s="692"/>
      <c r="D776" s="692"/>
      <c r="E776" s="692"/>
      <c r="G776" s="692"/>
      <c r="H776" s="692"/>
      <c r="I776" s="692"/>
      <c r="J776" s="692"/>
      <c r="K776" s="692"/>
      <c r="L776" s="692"/>
      <c r="M776" s="635"/>
    </row>
    <row r="777" spans="1:13" ht="15.75" x14ac:dyDescent="0.25">
      <c r="A777" s="692"/>
      <c r="B777" s="692"/>
      <c r="C777" s="692"/>
      <c r="D777" s="692"/>
      <c r="E777" s="692"/>
      <c r="G777" s="692"/>
      <c r="H777" s="692"/>
      <c r="I777" s="692"/>
      <c r="J777" s="692"/>
      <c r="K777" s="692"/>
      <c r="L777" s="692"/>
      <c r="M777" s="635"/>
    </row>
    <row r="778" spans="1:13" ht="15.75" x14ac:dyDescent="0.25">
      <c r="A778" s="692"/>
      <c r="B778" s="692"/>
      <c r="C778" s="692"/>
      <c r="D778" s="692"/>
      <c r="E778" s="692"/>
      <c r="G778" s="692"/>
      <c r="H778" s="692"/>
      <c r="I778" s="692"/>
      <c r="J778" s="692"/>
      <c r="K778" s="692"/>
      <c r="L778" s="692"/>
      <c r="M778" s="635"/>
    </row>
    <row r="779" spans="1:13" ht="15.75" x14ac:dyDescent="0.25">
      <c r="A779" s="692"/>
      <c r="B779" s="692"/>
      <c r="C779" s="692"/>
      <c r="D779" s="692"/>
      <c r="E779" s="692"/>
      <c r="G779" s="692"/>
      <c r="H779" s="692"/>
      <c r="I779" s="692"/>
      <c r="J779" s="692"/>
      <c r="K779" s="692"/>
      <c r="L779" s="692"/>
      <c r="M779" s="635"/>
    </row>
    <row r="780" spans="1:13" ht="15.75" x14ac:dyDescent="0.25">
      <c r="A780" s="692"/>
      <c r="B780" s="692"/>
      <c r="C780" s="692"/>
      <c r="D780" s="692"/>
      <c r="E780" s="692"/>
      <c r="G780" s="692"/>
      <c r="H780" s="692"/>
      <c r="I780" s="692"/>
      <c r="J780" s="692"/>
      <c r="K780" s="692"/>
      <c r="L780" s="692"/>
      <c r="M780" s="634"/>
    </row>
    <row r="781" spans="1:13" ht="15.75" x14ac:dyDescent="0.25">
      <c r="A781" s="692"/>
      <c r="B781" s="692"/>
      <c r="C781" s="692"/>
      <c r="D781" s="692"/>
      <c r="E781" s="692"/>
      <c r="G781" s="692"/>
      <c r="H781" s="692"/>
      <c r="I781" s="692"/>
      <c r="J781" s="692"/>
      <c r="K781" s="692"/>
      <c r="L781" s="692"/>
      <c r="M781" s="634"/>
    </row>
    <row r="782" spans="1:13" ht="15.75" x14ac:dyDescent="0.25">
      <c r="A782" s="692"/>
      <c r="B782" s="692"/>
      <c r="C782" s="692"/>
      <c r="D782" s="692"/>
      <c r="E782" s="692"/>
      <c r="G782" s="692"/>
      <c r="H782" s="692"/>
      <c r="I782" s="692"/>
      <c r="J782" s="692"/>
      <c r="K782" s="692"/>
      <c r="L782" s="692"/>
      <c r="M782" s="635"/>
    </row>
    <row r="783" spans="1:13" ht="15.75" x14ac:dyDescent="0.25">
      <c r="A783" s="692"/>
      <c r="B783" s="692"/>
      <c r="C783" s="692"/>
      <c r="D783" s="692"/>
      <c r="E783" s="692"/>
      <c r="G783" s="692"/>
      <c r="H783" s="692"/>
      <c r="I783" s="692"/>
      <c r="J783" s="692"/>
      <c r="K783" s="692"/>
      <c r="L783" s="692"/>
      <c r="M783" s="635"/>
    </row>
    <row r="784" spans="1:13" x14ac:dyDescent="0.25">
      <c r="A784" s="692"/>
      <c r="B784" s="692"/>
      <c r="C784" s="692"/>
      <c r="D784" s="692"/>
      <c r="E784" s="692"/>
      <c r="G784" s="692"/>
      <c r="H784" s="692"/>
      <c r="I784" s="692"/>
      <c r="J784" s="692"/>
      <c r="K784" s="692"/>
      <c r="L784" s="692"/>
      <c r="M784" s="692"/>
    </row>
  </sheetData>
  <sheetProtection formatCells="0"/>
  <autoFilter ref="A5:M519" xr:uid="{687C708D-5097-4B3E-8511-4157B0ACF38A}"/>
  <phoneticPr fontId="58" type="noConversion"/>
  <conditionalFormatting sqref="K3">
    <cfRule type="cellIs" dxfId="1" priority="1" operator="equal">
      <formula>"NOT COMPLIANT"</formula>
    </cfRule>
  </conditionalFormatting>
  <pageMargins left="0.7" right="0.7" top="0.75" bottom="0.75" header="0.3" footer="0.3"/>
  <pageSetup paperSize="9" scale="54" fitToHeight="5" orientation="portrait" horizontalDpi="4294967293" verticalDpi="4294967293" r:id="rId1"/>
  <rowBreaks count="2" manualBreakCount="2">
    <brk id="189" min="2" max="9" man="1"/>
    <brk id="224" min="2" max="9"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452BA-E758-4B5B-8106-E4E5D3E247B9}">
  <dimension ref="A1:I120"/>
  <sheetViews>
    <sheetView showGridLines="0" zoomScale="85" zoomScaleNormal="85" workbookViewId="0">
      <selection activeCell="B5" sqref="B5"/>
    </sheetView>
  </sheetViews>
  <sheetFormatPr defaultColWidth="8.85546875" defaultRowHeight="15" x14ac:dyDescent="0.25"/>
  <cols>
    <col min="1" max="1" width="64.42578125" style="692" customWidth="1"/>
    <col min="2" max="2" width="38.85546875" style="692" bestFit="1" customWidth="1"/>
    <col min="3" max="5" width="13.42578125" style="692" customWidth="1"/>
    <col min="6" max="6" width="24.42578125" style="692" customWidth="1"/>
    <col min="7" max="7" width="12.28515625" style="692" customWidth="1"/>
    <col min="8" max="8" width="10.85546875" style="692" customWidth="1"/>
    <col min="9" max="9" width="60.42578125" style="692" bestFit="1" customWidth="1"/>
    <col min="10" max="16384" width="8.85546875" style="692"/>
  </cols>
  <sheetData>
    <row r="1" spans="1:9" ht="72.75" customHeight="1" thickBot="1" x14ac:dyDescent="0.3">
      <c r="A1" s="275"/>
      <c r="B1" s="1445" t="s">
        <v>333</v>
      </c>
      <c r="C1" s="1445"/>
      <c r="D1" s="1445"/>
      <c r="E1" s="1445"/>
      <c r="F1" s="1445"/>
      <c r="G1" s="1319"/>
      <c r="H1" s="1319"/>
      <c r="I1" s="1319"/>
    </row>
    <row r="2" spans="1:9" ht="15.75" thickBot="1" x14ac:dyDescent="0.3">
      <c r="A2" s="18" t="s">
        <v>1264</v>
      </c>
      <c r="B2" s="1318" t="s">
        <v>229</v>
      </c>
      <c r="C2" s="1318" t="s">
        <v>232</v>
      </c>
      <c r="D2" s="1320" t="s">
        <v>342</v>
      </c>
      <c r="E2" s="1318" t="s">
        <v>1265</v>
      </c>
      <c r="F2" s="1321" t="s">
        <v>344</v>
      </c>
      <c r="I2" s="51"/>
    </row>
    <row r="3" spans="1:9" ht="38.1" customHeight="1" thickBot="1" x14ac:dyDescent="0.3">
      <c r="A3" s="6" t="s">
        <v>1266</v>
      </c>
      <c r="B3" s="286" t="s">
        <v>398</v>
      </c>
      <c r="C3" s="266" t="s">
        <v>399</v>
      </c>
      <c r="D3" s="1422" t="s">
        <v>400</v>
      </c>
      <c r="E3" s="265" t="str">
        <f>IF(C5="Yes","COMPLIANT","NOT COMPLIANT")</f>
        <v>COMPLIANT</v>
      </c>
      <c r="F3" s="353"/>
    </row>
    <row r="4" spans="1:9" ht="15.75" thickBot="1" x14ac:dyDescent="0.3">
      <c r="A4" s="2" t="s">
        <v>1267</v>
      </c>
      <c r="B4" s="42" t="s">
        <v>229</v>
      </c>
      <c r="C4" s="386"/>
      <c r="D4" s="3"/>
      <c r="E4" s="3"/>
      <c r="F4" s="272"/>
    </row>
    <row r="5" spans="1:9" ht="15.75" thickBot="1" x14ac:dyDescent="0.3">
      <c r="A5" s="130" t="s">
        <v>1268</v>
      </c>
      <c r="B5" s="131" t="s">
        <v>398</v>
      </c>
      <c r="C5" s="416" t="str">
        <f>'Input Data'!E195</f>
        <v>Yes</v>
      </c>
      <c r="D5" s="128"/>
      <c r="E5" s="128" t="str">
        <f>E3</f>
        <v>COMPLIANT</v>
      </c>
      <c r="F5" s="273"/>
    </row>
    <row r="6" spans="1:9" ht="15.75" thickBot="1" x14ac:dyDescent="0.3"/>
    <row r="7" spans="1:9" ht="33.950000000000003" customHeight="1" thickBot="1" x14ac:dyDescent="0.3">
      <c r="A7" s="18" t="s">
        <v>1269</v>
      </c>
      <c r="B7" s="19" t="s">
        <v>229</v>
      </c>
      <c r="C7" s="378" t="s">
        <v>232</v>
      </c>
      <c r="D7" s="19" t="s">
        <v>342</v>
      </c>
      <c r="E7" s="19" t="s">
        <v>1265</v>
      </c>
      <c r="F7" s="270" t="s">
        <v>344</v>
      </c>
    </row>
    <row r="8" spans="1:9" ht="27" customHeight="1" thickBot="1" x14ac:dyDescent="0.3">
      <c r="A8" s="6" t="s">
        <v>1270</v>
      </c>
      <c r="B8" s="260" t="s">
        <v>406</v>
      </c>
      <c r="C8" s="415" t="s">
        <v>399</v>
      </c>
      <c r="D8" s="126" t="s">
        <v>400</v>
      </c>
      <c r="E8" s="122" t="str">
        <f>IF(C10="Yes","COMPLIANT","NOT COMPLIANT")</f>
        <v>COMPLIANT</v>
      </c>
      <c r="F8" s="353"/>
    </row>
    <row r="9" spans="1:9" ht="15.75" thickBot="1" x14ac:dyDescent="0.3">
      <c r="A9" s="267" t="s">
        <v>1271</v>
      </c>
      <c r="B9" s="268" t="s">
        <v>229</v>
      </c>
      <c r="C9" s="386">
        <f>'Input Data'!$E$8</f>
        <v>0</v>
      </c>
      <c r="D9" s="3"/>
      <c r="E9" s="3"/>
      <c r="F9" s="272"/>
    </row>
    <row r="10" spans="1:9" ht="15.75" thickBot="1" x14ac:dyDescent="0.3">
      <c r="A10" s="130" t="s">
        <v>1272</v>
      </c>
      <c r="B10" s="274" t="s">
        <v>406</v>
      </c>
      <c r="C10" s="116" t="str">
        <f>'Input Data'!E196</f>
        <v>Yes</v>
      </c>
      <c r="D10" s="128"/>
      <c r="E10" s="128" t="str">
        <f>E8</f>
        <v>COMPLIANT</v>
      </c>
      <c r="F10" s="273"/>
    </row>
    <row r="11" spans="1:9" ht="15.75" thickBot="1" x14ac:dyDescent="0.3"/>
    <row r="12" spans="1:9" ht="15.75" thickBot="1" x14ac:dyDescent="0.3">
      <c r="A12" s="18" t="s">
        <v>1273</v>
      </c>
      <c r="B12" s="19" t="s">
        <v>229</v>
      </c>
      <c r="C12" s="19" t="s">
        <v>232</v>
      </c>
      <c r="D12" s="19" t="s">
        <v>342</v>
      </c>
      <c r="E12" s="19" t="s">
        <v>1265</v>
      </c>
      <c r="F12" s="238" t="s">
        <v>344</v>
      </c>
    </row>
    <row r="13" spans="1:9" ht="15.75" thickBot="1" x14ac:dyDescent="0.3">
      <c r="A13" s="6" t="s">
        <v>1274</v>
      </c>
      <c r="B13" s="286" t="s">
        <v>1275</v>
      </c>
      <c r="C13" s="266" t="s">
        <v>399</v>
      </c>
      <c r="D13" s="1422" t="s">
        <v>400</v>
      </c>
      <c r="E13" s="265" t="str">
        <f>IF(C15="Yes","COMPLIANT","NOT COMPLIANT")</f>
        <v>COMPLIANT</v>
      </c>
      <c r="F13" s="353"/>
    </row>
    <row r="14" spans="1:9" ht="15.75" thickBot="1" x14ac:dyDescent="0.3">
      <c r="A14" s="2" t="s">
        <v>1276</v>
      </c>
      <c r="B14" s="42" t="s">
        <v>229</v>
      </c>
      <c r="C14" s="386"/>
      <c r="D14" s="3"/>
      <c r="E14" s="3"/>
      <c r="F14" s="272"/>
    </row>
    <row r="15" spans="1:9" ht="15.75" thickBot="1" x14ac:dyDescent="0.3">
      <c r="A15" s="130" t="s">
        <v>1277</v>
      </c>
      <c r="B15" s="131" t="s">
        <v>409</v>
      </c>
      <c r="C15" s="416" t="str">
        <f>'Input Data'!E197</f>
        <v>Yes</v>
      </c>
      <c r="D15" s="128"/>
      <c r="E15" s="128" t="str">
        <f>E13</f>
        <v>COMPLIANT</v>
      </c>
      <c r="F15" s="273"/>
    </row>
    <row r="16" spans="1:9" ht="15" customHeight="1" thickBot="1" x14ac:dyDescent="0.3"/>
    <row r="17" spans="1:6" ht="15.75" thickBot="1" x14ac:dyDescent="0.3">
      <c r="A17" s="18" t="s">
        <v>241</v>
      </c>
      <c r="B17" s="19" t="s">
        <v>229</v>
      </c>
      <c r="C17" s="19" t="s">
        <v>232</v>
      </c>
      <c r="D17" s="19" t="s">
        <v>342</v>
      </c>
      <c r="E17" s="19" t="s">
        <v>1265</v>
      </c>
      <c r="F17" s="238" t="s">
        <v>344</v>
      </c>
    </row>
    <row r="18" spans="1:6" ht="41.25" thickBot="1" x14ac:dyDescent="0.3">
      <c r="A18" s="6" t="s">
        <v>1278</v>
      </c>
      <c r="B18" s="286" t="s">
        <v>1279</v>
      </c>
      <c r="C18" s="266" t="s">
        <v>399</v>
      </c>
      <c r="D18" s="1422" t="s">
        <v>400</v>
      </c>
      <c r="E18" s="265" t="str">
        <f>IF(C22="Yes","COMPLIANT","NOT COMPLIANT")</f>
        <v>COMPLIANT</v>
      </c>
      <c r="F18" s="353"/>
    </row>
    <row r="19" spans="1:6" ht="15.75" thickBot="1" x14ac:dyDescent="0.3">
      <c r="A19" s="2" t="s">
        <v>1280</v>
      </c>
      <c r="B19" s="42" t="s">
        <v>229</v>
      </c>
      <c r="C19" s="386"/>
      <c r="D19" s="3"/>
      <c r="E19" s="3"/>
      <c r="F19" s="272"/>
    </row>
    <row r="20" spans="1:6" ht="27.75" thickBot="1" x14ac:dyDescent="0.3">
      <c r="A20" s="38"/>
      <c r="B20" s="1328" t="s">
        <v>952</v>
      </c>
      <c r="C20" s="416" t="str">
        <f>'Input Data'!E198</f>
        <v>Yes</v>
      </c>
      <c r="D20" s="37"/>
      <c r="E20" s="37"/>
      <c r="F20" s="311"/>
    </row>
    <row r="21" spans="1:6" ht="15.75" thickBot="1" x14ac:dyDescent="0.3">
      <c r="A21" s="38"/>
      <c r="B21" s="126"/>
      <c r="C21" s="1327"/>
      <c r="D21" s="37"/>
      <c r="E21" s="37"/>
      <c r="F21" s="311"/>
    </row>
    <row r="22" spans="1:6" ht="41.25" thickBot="1" x14ac:dyDescent="0.3">
      <c r="A22" s="130" t="s">
        <v>1281</v>
      </c>
      <c r="B22" s="131" t="s">
        <v>1279</v>
      </c>
      <c r="C22" s="416" t="str">
        <f>C20</f>
        <v>Yes</v>
      </c>
      <c r="D22" s="128"/>
      <c r="E22" s="128" t="str">
        <f>E18</f>
        <v>COMPLIANT</v>
      </c>
      <c r="F22" s="273"/>
    </row>
    <row r="23" spans="1:6" ht="15.75" thickBot="1" x14ac:dyDescent="0.3">
      <c r="A23" s="34"/>
      <c r="B23" s="1131"/>
      <c r="C23" s="1132"/>
      <c r="D23" s="34"/>
      <c r="E23" s="34"/>
      <c r="F23" s="34"/>
    </row>
    <row r="24" spans="1:6" ht="15.75" thickBot="1" x14ac:dyDescent="0.3">
      <c r="A24" s="181" t="s">
        <v>271</v>
      </c>
      <c r="B24" s="19" t="s">
        <v>229</v>
      </c>
      <c r="C24" s="378" t="s">
        <v>232</v>
      </c>
      <c r="D24" s="19" t="s">
        <v>342</v>
      </c>
      <c r="E24" s="19" t="s">
        <v>1265</v>
      </c>
      <c r="F24" s="270" t="s">
        <v>344</v>
      </c>
    </row>
    <row r="25" spans="1:6" ht="54.75" thickBot="1" x14ac:dyDescent="0.3">
      <c r="A25" s="6" t="s">
        <v>1282</v>
      </c>
      <c r="B25" s="260" t="s">
        <v>275</v>
      </c>
      <c r="C25" s="417" t="s">
        <v>399</v>
      </c>
      <c r="D25" s="126" t="s">
        <v>400</v>
      </c>
      <c r="E25" s="122" t="str">
        <f>IF(C27="Yes","COMPLIANT","NOT COMPLIANT")</f>
        <v>COMPLIANT</v>
      </c>
      <c r="F25" s="354" t="s">
        <v>1283</v>
      </c>
    </row>
    <row r="26" spans="1:6" ht="15.75" thickBot="1" x14ac:dyDescent="0.3">
      <c r="A26" s="1322" t="s">
        <v>1284</v>
      </c>
      <c r="B26" s="268" t="s">
        <v>229</v>
      </c>
      <c r="C26" s="386">
        <f>'Input Data'!$E$8</f>
        <v>0</v>
      </c>
      <c r="D26" s="3"/>
      <c r="E26" s="3"/>
      <c r="F26" s="272"/>
    </row>
    <row r="27" spans="1:6" ht="21" customHeight="1" thickBot="1" x14ac:dyDescent="0.3">
      <c r="A27" s="1208" t="s">
        <v>274</v>
      </c>
      <c r="B27" s="274" t="s">
        <v>529</v>
      </c>
      <c r="C27" s="416" t="str">
        <f>IF(ISBLANK('Input Data'!$E$199), "", 'Input Data'!$E$199)</f>
        <v>Yes</v>
      </c>
      <c r="D27" s="128"/>
      <c r="E27" s="128" t="str">
        <f>E25</f>
        <v>COMPLIANT</v>
      </c>
      <c r="F27" s="273"/>
    </row>
    <row r="28" spans="1:6" ht="15.75" thickBot="1" x14ac:dyDescent="0.3"/>
    <row r="29" spans="1:6" ht="15.75" thickBot="1" x14ac:dyDescent="0.3">
      <c r="A29" s="18" t="s">
        <v>289</v>
      </c>
      <c r="B29" s="19" t="s">
        <v>229</v>
      </c>
      <c r="C29" s="524" t="s">
        <v>232</v>
      </c>
      <c r="D29" s="19" t="s">
        <v>342</v>
      </c>
      <c r="E29" s="19" t="s">
        <v>1265</v>
      </c>
      <c r="F29" s="195" t="s">
        <v>344</v>
      </c>
    </row>
    <row r="30" spans="1:6" ht="32.1" customHeight="1" thickBot="1" x14ac:dyDescent="0.3">
      <c r="A30" s="6" t="s">
        <v>1285</v>
      </c>
      <c r="B30" s="6" t="s">
        <v>1286</v>
      </c>
      <c r="C30" s="537" t="s">
        <v>399</v>
      </c>
      <c r="D30" s="1423"/>
      <c r="E30" s="35" t="str">
        <f>IF(AND(C32=0,C34=0),"",IF(C35= "Yes","COMPLIANT","NOT COMPLIANT"))</f>
        <v/>
      </c>
      <c r="F30" s="686"/>
    </row>
    <row r="31" spans="1:6" ht="17.100000000000001" customHeight="1" thickBot="1" x14ac:dyDescent="0.3">
      <c r="A31" s="1209" t="s">
        <v>1287</v>
      </c>
      <c r="B31" s="42" t="s">
        <v>229</v>
      </c>
      <c r="C31" s="492"/>
      <c r="D31" s="3"/>
      <c r="E31" s="3"/>
      <c r="F31" s="272"/>
    </row>
    <row r="32" spans="1:6" ht="27.75" thickBot="1" x14ac:dyDescent="0.3">
      <c r="A32" s="260"/>
      <c r="B32" s="36" t="s">
        <v>693</v>
      </c>
      <c r="C32" s="536">
        <f>'Input Data'!$E$200</f>
        <v>0</v>
      </c>
      <c r="D32" s="47" t="s">
        <v>371</v>
      </c>
      <c r="E32" s="260"/>
      <c r="F32" s="686"/>
    </row>
    <row r="33" spans="1:6" ht="54" customHeight="1" thickBot="1" x14ac:dyDescent="0.3">
      <c r="A33" s="260"/>
      <c r="B33" s="1346" t="s">
        <v>695</v>
      </c>
      <c r="C33" s="536">
        <f>'Input Data'!$E$201</f>
        <v>0</v>
      </c>
      <c r="D33" s="47" t="s">
        <v>371</v>
      </c>
      <c r="E33" s="260"/>
      <c r="F33" s="686"/>
    </row>
    <row r="34" spans="1:6" ht="15.75" thickBot="1" x14ac:dyDescent="0.3">
      <c r="A34" s="260"/>
      <c r="B34" s="47" t="s">
        <v>697</v>
      </c>
      <c r="C34" s="536">
        <f>'Input Data'!$E$202</f>
        <v>0</v>
      </c>
      <c r="D34" s="47" t="s">
        <v>371</v>
      </c>
      <c r="E34" s="1241"/>
      <c r="F34" s="686"/>
    </row>
    <row r="35" spans="1:6" ht="27.75" thickBot="1" x14ac:dyDescent="0.3">
      <c r="A35" s="132" t="s">
        <v>292</v>
      </c>
      <c r="B35" s="137" t="s">
        <v>1286</v>
      </c>
      <c r="C35" s="722" t="str">
        <f xml:space="preserve"> IF(C33 = 0,"",IF(AND(C33&gt;0,C32&gt;=C33,C34=0),"Yes", "No"))</f>
        <v/>
      </c>
      <c r="D35" s="128"/>
      <c r="E35" s="16" t="str">
        <f>$E$30</f>
        <v/>
      </c>
      <c r="F35" s="206"/>
    </row>
    <row r="36" spans="1:6" ht="15.75" thickBot="1" x14ac:dyDescent="0.3"/>
    <row r="37" spans="1:6" ht="15.75" thickBot="1" x14ac:dyDescent="0.3">
      <c r="A37" s="181" t="s">
        <v>302</v>
      </c>
      <c r="B37" s="19" t="s">
        <v>229</v>
      </c>
      <c r="C37" s="500" t="s">
        <v>232</v>
      </c>
      <c r="D37" s="19" t="s">
        <v>342</v>
      </c>
      <c r="E37" s="19" t="s">
        <v>1265</v>
      </c>
      <c r="F37" s="195" t="s">
        <v>344</v>
      </c>
    </row>
    <row r="38" spans="1:6" ht="68.25" thickBot="1" x14ac:dyDescent="0.3">
      <c r="A38" s="91" t="s">
        <v>1288</v>
      </c>
      <c r="B38" s="36" t="s">
        <v>1289</v>
      </c>
      <c r="C38" s="394" t="s">
        <v>399</v>
      </c>
      <c r="D38" s="1423"/>
      <c r="E38" s="1423"/>
      <c r="F38" s="199" t="s">
        <v>1290</v>
      </c>
    </row>
    <row r="39" spans="1:6" ht="15.75" thickBot="1" x14ac:dyDescent="0.3">
      <c r="A39" s="17" t="s">
        <v>1291</v>
      </c>
      <c r="B39" s="159" t="s">
        <v>229</v>
      </c>
      <c r="C39" s="492"/>
      <c r="D39" s="3"/>
      <c r="E39" s="3"/>
      <c r="F39" s="222"/>
    </row>
    <row r="40" spans="1:6" ht="15.75" thickBot="1" x14ac:dyDescent="0.3">
      <c r="A40" s="1325"/>
      <c r="B40" s="74"/>
      <c r="C40" s="501"/>
      <c r="D40" s="37"/>
      <c r="E40" s="37"/>
      <c r="F40" s="223"/>
    </row>
    <row r="41" spans="1:6" ht="15.75" thickBot="1" x14ac:dyDescent="0.3">
      <c r="A41" s="47"/>
      <c r="B41" s="47" t="s">
        <v>756</v>
      </c>
      <c r="C41" s="385" t="str">
        <f>'Input Data'!E203</f>
        <v>Yes</v>
      </c>
      <c r="D41" s="66"/>
      <c r="E41" s="679"/>
      <c r="F41" s="202"/>
    </row>
    <row r="42" spans="1:6" ht="15.75" thickBot="1" x14ac:dyDescent="0.3">
      <c r="A42" s="47"/>
      <c r="B42" s="36" t="s">
        <v>758</v>
      </c>
      <c r="C42" s="385" t="str">
        <f>'Input Data'!E204</f>
        <v>Yes</v>
      </c>
      <c r="D42" s="66"/>
      <c r="E42" s="679"/>
      <c r="F42" s="686"/>
    </row>
    <row r="43" spans="1:6" ht="27.75" thickBot="1" x14ac:dyDescent="0.3">
      <c r="A43" s="47"/>
      <c r="B43" s="36" t="s">
        <v>760</v>
      </c>
      <c r="C43" s="385" t="str">
        <f>'Input Data'!E205</f>
        <v>Yes</v>
      </c>
      <c r="D43" s="66"/>
      <c r="E43" s="679"/>
      <c r="F43" s="207"/>
    </row>
    <row r="44" spans="1:6" ht="68.25" thickBot="1" x14ac:dyDescent="0.3">
      <c r="A44" s="132" t="s">
        <v>1292</v>
      </c>
      <c r="B44" s="137" t="s">
        <v>1289</v>
      </c>
      <c r="C44" s="722" t="str">
        <f>IF(AND(C41="YES",C42="YES",C43="YES"),"Yes","No")</f>
        <v>Yes</v>
      </c>
      <c r="D44" s="133"/>
      <c r="E44" s="16" t="str">
        <f>IF(C44="Yes", "COMPLIANT", "NOT COMPLIANT")</f>
        <v>COMPLIANT</v>
      </c>
      <c r="F44" s="206"/>
    </row>
    <row r="45" spans="1:6" ht="24" thickBot="1" x14ac:dyDescent="0.3">
      <c r="A45" s="470"/>
      <c r="B45" s="471"/>
      <c r="C45" s="22"/>
    </row>
    <row r="46" spans="1:6" ht="15.75" thickBot="1" x14ac:dyDescent="0.3">
      <c r="A46" s="181" t="s">
        <v>302</v>
      </c>
      <c r="B46" s="19" t="s">
        <v>229</v>
      </c>
      <c r="C46" s="378" t="s">
        <v>232</v>
      </c>
      <c r="D46" s="19" t="s">
        <v>342</v>
      </c>
      <c r="E46" s="19" t="s">
        <v>1265</v>
      </c>
      <c r="F46" s="270" t="s">
        <v>344</v>
      </c>
    </row>
    <row r="47" spans="1:6" ht="135.75" thickBot="1" x14ac:dyDescent="0.3">
      <c r="A47" s="36" t="s">
        <v>1288</v>
      </c>
      <c r="B47" s="260" t="s">
        <v>1293</v>
      </c>
      <c r="C47" s="417" t="s">
        <v>399</v>
      </c>
      <c r="D47" s="126" t="s">
        <v>400</v>
      </c>
      <c r="E47" s="122" t="str">
        <f>IF(C55="Yes","COMPLIANT","NOT COMPLIANT")</f>
        <v>COMPLIANT</v>
      </c>
      <c r="F47" s="354" t="s">
        <v>1294</v>
      </c>
    </row>
    <row r="48" spans="1:6" ht="15.75" thickBot="1" x14ac:dyDescent="0.3">
      <c r="A48" s="1322" t="s">
        <v>1295</v>
      </c>
      <c r="B48" s="268" t="s">
        <v>229</v>
      </c>
      <c r="C48" s="386">
        <f>'Input Data'!$E$8</f>
        <v>0</v>
      </c>
      <c r="D48" s="3"/>
      <c r="E48" s="3"/>
      <c r="F48" s="272"/>
    </row>
    <row r="49" spans="1:6" ht="15.75" thickBot="1" x14ac:dyDescent="0.3">
      <c r="A49" s="1325"/>
      <c r="B49" s="90"/>
      <c r="C49" s="501"/>
      <c r="D49" s="37"/>
      <c r="E49" s="37"/>
      <c r="F49" s="223"/>
    </row>
    <row r="50" spans="1:6" ht="27.75" thickBot="1" x14ac:dyDescent="0.3">
      <c r="A50" s="1325"/>
      <c r="B50" s="91" t="s">
        <v>763</v>
      </c>
      <c r="C50" s="116" t="str">
        <f>'Input Data'!E206</f>
        <v>Yes</v>
      </c>
      <c r="D50" s="37"/>
      <c r="E50" s="37"/>
      <c r="F50" s="1026"/>
    </row>
    <row r="51" spans="1:6" ht="27.75" thickBot="1" x14ac:dyDescent="0.3">
      <c r="A51" s="1325"/>
      <c r="B51" s="1027" t="s">
        <v>899</v>
      </c>
      <c r="C51" s="116" t="str">
        <f>'Input Data'!E207</f>
        <v>Yes</v>
      </c>
      <c r="D51" s="37"/>
      <c r="E51" s="37"/>
      <c r="F51" s="1026"/>
    </row>
    <row r="52" spans="1:6" ht="15.75" thickBot="1" x14ac:dyDescent="0.3">
      <c r="A52" s="1325"/>
      <c r="B52" s="91" t="s">
        <v>767</v>
      </c>
      <c r="C52" s="116" t="str">
        <f>'Input Data'!E208</f>
        <v>Yes</v>
      </c>
      <c r="D52" s="37"/>
      <c r="E52" s="37"/>
      <c r="F52" s="1026"/>
    </row>
    <row r="53" spans="1:6" ht="27.75" thickBot="1" x14ac:dyDescent="0.3">
      <c r="A53" s="1325"/>
      <c r="B53" s="91" t="s">
        <v>769</v>
      </c>
      <c r="C53" s="116" t="str">
        <f>'Input Data'!E209</f>
        <v>Yes</v>
      </c>
      <c r="D53" s="37"/>
      <c r="E53" s="37"/>
      <c r="F53" s="1026"/>
    </row>
    <row r="54" spans="1:6" ht="15.75" thickBot="1" x14ac:dyDescent="0.3">
      <c r="A54" s="1325"/>
      <c r="B54" s="74"/>
      <c r="C54" s="501"/>
      <c r="D54" s="37"/>
      <c r="E54" s="37"/>
      <c r="F54" s="1026"/>
    </row>
    <row r="55" spans="1:6" ht="15.75" thickBot="1" x14ac:dyDescent="0.3">
      <c r="A55" s="1208" t="s">
        <v>1296</v>
      </c>
      <c r="B55" s="274" t="s">
        <v>1293</v>
      </c>
      <c r="C55" s="722" t="str">
        <f>IF(AND(C50="YES",C51="YES",C52="YES", C53="Yes"),"Yes","No")</f>
        <v>Yes</v>
      </c>
      <c r="D55" s="128"/>
      <c r="E55" s="128" t="str">
        <f>E47</f>
        <v>COMPLIANT</v>
      </c>
      <c r="F55" s="273"/>
    </row>
    <row r="56" spans="1:6" ht="16.5" thickBot="1" x14ac:dyDescent="0.35">
      <c r="A56" s="244"/>
      <c r="C56" s="21"/>
      <c r="F56" s="245"/>
    </row>
    <row r="57" spans="1:6" ht="15.75" thickBot="1" x14ac:dyDescent="0.3">
      <c r="A57" s="181" t="s">
        <v>307</v>
      </c>
      <c r="B57" s="19" t="s">
        <v>229</v>
      </c>
      <c r="C57" s="500" t="s">
        <v>232</v>
      </c>
      <c r="D57" s="19" t="s">
        <v>342</v>
      </c>
      <c r="E57" s="19" t="s">
        <v>1265</v>
      </c>
      <c r="F57" s="195" t="s">
        <v>344</v>
      </c>
    </row>
    <row r="58" spans="1:6" ht="27.75" thickBot="1" x14ac:dyDescent="0.3">
      <c r="A58" s="91" t="s">
        <v>1297</v>
      </c>
      <c r="B58" s="6" t="s">
        <v>1298</v>
      </c>
      <c r="C58" s="531" t="s">
        <v>1299</v>
      </c>
      <c r="D58" s="1421" t="s">
        <v>210</v>
      </c>
      <c r="E58" s="96"/>
      <c r="F58" s="199"/>
    </row>
    <row r="59" spans="1:6" ht="15.75" thickBot="1" x14ac:dyDescent="0.3">
      <c r="A59" s="17" t="s">
        <v>1300</v>
      </c>
      <c r="B59" s="156" t="s">
        <v>229</v>
      </c>
      <c r="C59" s="492"/>
      <c r="D59" s="9"/>
      <c r="E59" s="3"/>
      <c r="F59" s="222"/>
    </row>
    <row r="60" spans="1:6" ht="15.75" thickBot="1" x14ac:dyDescent="0.3">
      <c r="A60" s="36"/>
      <c r="B60" s="100"/>
      <c r="C60" s="501"/>
      <c r="D60" s="24"/>
      <c r="E60" s="37"/>
      <c r="F60" s="223"/>
    </row>
    <row r="61" spans="1:6" ht="27.75" thickBot="1" x14ac:dyDescent="0.3">
      <c r="A61" s="36"/>
      <c r="B61" s="683" t="s">
        <v>789</v>
      </c>
      <c r="C61" s="1152">
        <f>'Input Data'!$E$210</f>
        <v>0</v>
      </c>
      <c r="D61" s="683" t="s">
        <v>371</v>
      </c>
      <c r="E61" s="37"/>
      <c r="F61" s="223"/>
    </row>
    <row r="62" spans="1:6" ht="15.75" thickBot="1" x14ac:dyDescent="0.3">
      <c r="A62" s="36"/>
      <c r="B62" s="683" t="s">
        <v>374</v>
      </c>
      <c r="C62" s="1150">
        <f>'Input Data'!$E$14</f>
        <v>0</v>
      </c>
      <c r="D62" s="65" t="s">
        <v>371</v>
      </c>
      <c r="E62" s="37"/>
      <c r="F62" s="223"/>
    </row>
    <row r="63" spans="1:6" x14ac:dyDescent="0.25">
      <c r="A63" s="47"/>
      <c r="B63" s="100"/>
      <c r="C63" s="1028"/>
      <c r="D63" s="65"/>
      <c r="E63" s="679"/>
      <c r="F63" s="209"/>
    </row>
    <row r="64" spans="1:6" ht="15.75" thickBot="1" x14ac:dyDescent="0.3">
      <c r="A64" s="47"/>
      <c r="B64" s="47"/>
      <c r="C64" s="394"/>
      <c r="D64" s="66"/>
      <c r="E64" s="679"/>
      <c r="F64" s="202"/>
    </row>
    <row r="65" spans="1:6" ht="27.75" thickBot="1" x14ac:dyDescent="0.3">
      <c r="A65" s="137" t="s">
        <v>306</v>
      </c>
      <c r="B65" s="157" t="s">
        <v>1298</v>
      </c>
      <c r="C65" s="1151" t="e">
        <f>C61/C62*100</f>
        <v>#DIV/0!</v>
      </c>
      <c r="D65" s="133" t="s">
        <v>210</v>
      </c>
      <c r="E65" s="158" t="e">
        <f>IF(C65&gt;80,"COMPLIANT","NOT COMPLIANT")</f>
        <v>#DIV/0!</v>
      </c>
      <c r="F65" s="211"/>
    </row>
    <row r="66" spans="1:6" ht="15.75" thickBot="1" x14ac:dyDescent="0.3"/>
    <row r="67" spans="1:6" ht="15.75" thickBot="1" x14ac:dyDescent="0.3">
      <c r="A67" s="18" t="s">
        <v>318</v>
      </c>
      <c r="B67" s="19" t="s">
        <v>229</v>
      </c>
      <c r="C67" s="500" t="s">
        <v>232</v>
      </c>
      <c r="D67" s="19" t="s">
        <v>342</v>
      </c>
      <c r="E67" s="19" t="s">
        <v>1265</v>
      </c>
      <c r="F67" s="195" t="s">
        <v>344</v>
      </c>
    </row>
    <row r="68" spans="1:6" ht="27.75" thickBot="1" x14ac:dyDescent="0.3">
      <c r="A68" s="6" t="s">
        <v>1301</v>
      </c>
      <c r="B68" s="6" t="s">
        <v>1302</v>
      </c>
      <c r="C68" s="394" t="s">
        <v>399</v>
      </c>
      <c r="D68" s="1423" t="s">
        <v>400</v>
      </c>
      <c r="E68" s="35"/>
      <c r="F68" s="686"/>
    </row>
    <row r="69" spans="1:6" ht="15.75" thickBot="1" x14ac:dyDescent="0.3">
      <c r="A69" s="151" t="s">
        <v>1303</v>
      </c>
      <c r="B69" s="42" t="s">
        <v>229</v>
      </c>
      <c r="C69" s="492"/>
      <c r="D69" s="3"/>
      <c r="E69" s="3"/>
      <c r="F69" s="200"/>
    </row>
    <row r="70" spans="1:6" ht="15.75" thickBot="1" x14ac:dyDescent="0.3">
      <c r="A70" s="38"/>
      <c r="B70" s="48"/>
      <c r="C70" s="501"/>
      <c r="D70" s="37"/>
      <c r="E70" s="37"/>
      <c r="F70" s="196"/>
    </row>
    <row r="71" spans="1:6" ht="15.75" thickBot="1" x14ac:dyDescent="0.3">
      <c r="A71" s="681"/>
      <c r="B71" s="39" t="s">
        <v>842</v>
      </c>
      <c r="C71" s="1197" t="str">
        <f>'Input Data'!E211</f>
        <v>Yes</v>
      </c>
      <c r="D71" s="681"/>
      <c r="E71" s="25"/>
      <c r="F71" s="202"/>
    </row>
    <row r="72" spans="1:6" ht="15.75" thickBot="1" x14ac:dyDescent="0.3">
      <c r="A72" s="681"/>
      <c r="B72" s="679"/>
      <c r="C72" s="114"/>
      <c r="D72" s="47"/>
      <c r="E72" s="1423"/>
      <c r="F72" s="202"/>
    </row>
    <row r="73" spans="1:6" ht="17.100000000000001" customHeight="1" thickBot="1" x14ac:dyDescent="0.3">
      <c r="A73" s="128" t="s">
        <v>1304</v>
      </c>
      <c r="B73" s="131" t="s">
        <v>1302</v>
      </c>
      <c r="C73" s="722" t="str">
        <f>C71</f>
        <v>Yes</v>
      </c>
      <c r="D73" s="128"/>
      <c r="E73" s="40" t="str">
        <f>IF(C73="Yes","COMPLIANT","NOT COMPLIANT")</f>
        <v>COMPLIANT</v>
      </c>
      <c r="F73" s="206"/>
    </row>
    <row r="74" spans="1:6" ht="15.75" thickBot="1" x14ac:dyDescent="0.3"/>
    <row r="75" spans="1:6" ht="15.75" thickBot="1" x14ac:dyDescent="0.3">
      <c r="A75" s="18" t="s">
        <v>318</v>
      </c>
      <c r="B75" s="19" t="s">
        <v>229</v>
      </c>
      <c r="C75" s="500" t="s">
        <v>232</v>
      </c>
      <c r="D75" s="19" t="s">
        <v>342</v>
      </c>
      <c r="E75" s="19" t="s">
        <v>1265</v>
      </c>
      <c r="F75" s="195" t="s">
        <v>344</v>
      </c>
    </row>
    <row r="76" spans="1:6" ht="15.75" thickBot="1" x14ac:dyDescent="0.3">
      <c r="A76" s="6" t="s">
        <v>1301</v>
      </c>
      <c r="B76" s="6" t="s">
        <v>1305</v>
      </c>
      <c r="C76" s="394" t="s">
        <v>399</v>
      </c>
      <c r="D76" s="1423" t="s">
        <v>400</v>
      </c>
      <c r="E76" s="35"/>
      <c r="F76" s="686"/>
    </row>
    <row r="77" spans="1:6" ht="15.75" thickBot="1" x14ac:dyDescent="0.3">
      <c r="A77" s="151" t="s">
        <v>1306</v>
      </c>
      <c r="B77" s="42" t="s">
        <v>229</v>
      </c>
      <c r="C77" s="492"/>
      <c r="D77" s="3"/>
      <c r="E77" s="3"/>
      <c r="F77" s="200"/>
    </row>
    <row r="78" spans="1:6" ht="15.75" thickBot="1" x14ac:dyDescent="0.3">
      <c r="A78" s="38"/>
      <c r="B78" s="48"/>
      <c r="C78" s="501"/>
      <c r="D78" s="37"/>
      <c r="E78" s="37"/>
      <c r="F78" s="196"/>
    </row>
    <row r="79" spans="1:6" ht="15.75" thickBot="1" x14ac:dyDescent="0.3">
      <c r="A79" s="681"/>
      <c r="B79" s="39" t="s">
        <v>845</v>
      </c>
      <c r="C79" s="1197" t="str">
        <f>'Input Data'!E212</f>
        <v>Yes</v>
      </c>
      <c r="D79" s="681"/>
      <c r="E79" s="25"/>
      <c r="F79" s="202"/>
    </row>
    <row r="80" spans="1:6" ht="15.75" thickBot="1" x14ac:dyDescent="0.3">
      <c r="A80" s="681"/>
      <c r="B80" s="679"/>
      <c r="C80" s="114"/>
      <c r="D80" s="47"/>
      <c r="E80" s="1423"/>
      <c r="F80" s="202"/>
    </row>
    <row r="81" spans="1:6" ht="15.75" thickBot="1" x14ac:dyDescent="0.3">
      <c r="A81" s="128" t="s">
        <v>1307</v>
      </c>
      <c r="B81" s="131" t="s">
        <v>1305</v>
      </c>
      <c r="C81" s="722" t="str">
        <f>C79</f>
        <v>Yes</v>
      </c>
      <c r="D81" s="128"/>
      <c r="E81" s="40" t="str">
        <f>IF(C81="Yes","COMPLIANT","NOT COMPLIANT")</f>
        <v>COMPLIANT</v>
      </c>
      <c r="F81" s="206"/>
    </row>
    <row r="82" spans="1:6" x14ac:dyDescent="0.25">
      <c r="A82" s="10"/>
      <c r="B82" s="10"/>
      <c r="C82" s="503"/>
      <c r="D82" s="10"/>
      <c r="E82" s="10"/>
      <c r="F82" s="135"/>
    </row>
    <row r="83" spans="1:6" ht="15.75" x14ac:dyDescent="0.3">
      <c r="A83" s="4" t="s">
        <v>201</v>
      </c>
      <c r="B83" s="10"/>
      <c r="C83" s="503"/>
      <c r="D83" s="10"/>
      <c r="E83" s="10"/>
      <c r="F83" s="135"/>
    </row>
    <row r="84" spans="1:6" ht="15.75" x14ac:dyDescent="0.3">
      <c r="A84" s="4" t="s">
        <v>202</v>
      </c>
    </row>
    <row r="86" spans="1:6" x14ac:dyDescent="0.25">
      <c r="A86" s="692" t="s">
        <v>1308</v>
      </c>
    </row>
    <row r="112" spans="7:7" x14ac:dyDescent="0.25">
      <c r="G112" s="34"/>
    </row>
    <row r="113" spans="7:7" x14ac:dyDescent="0.25">
      <c r="G113" s="34"/>
    </row>
    <row r="114" spans="7:7" x14ac:dyDescent="0.25">
      <c r="G114" s="34"/>
    </row>
    <row r="115" spans="7:7" x14ac:dyDescent="0.25">
      <c r="G115" s="34"/>
    </row>
    <row r="116" spans="7:7" x14ac:dyDescent="0.25">
      <c r="G116" s="34"/>
    </row>
    <row r="117" spans="7:7" x14ac:dyDescent="0.25">
      <c r="G117" s="34"/>
    </row>
    <row r="118" spans="7:7" x14ac:dyDescent="0.25">
      <c r="G118" s="34"/>
    </row>
    <row r="119" spans="7:7" x14ac:dyDescent="0.25">
      <c r="G119" s="34"/>
    </row>
    <row r="120" spans="7:7" x14ac:dyDescent="0.25">
      <c r="G120" s="34"/>
    </row>
  </sheetData>
  <mergeCells count="1">
    <mergeCell ref="B1:F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P440"/>
  <sheetViews>
    <sheetView showGridLines="0" topLeftCell="A37" zoomScaleNormal="100" zoomScalePageLayoutView="90" workbookViewId="0">
      <selection activeCell="B128" sqref="B128"/>
    </sheetView>
  </sheetViews>
  <sheetFormatPr defaultColWidth="9.140625" defaultRowHeight="15" x14ac:dyDescent="0.25"/>
  <cols>
    <col min="1" max="1" width="33.42578125" customWidth="1"/>
    <col min="2" max="2" width="50.28515625" customWidth="1"/>
    <col min="3" max="3" width="21.28515625" style="22" customWidth="1"/>
    <col min="4" max="4" width="14.140625" customWidth="1"/>
    <col min="5" max="5" width="15.7109375" customWidth="1"/>
    <col min="6" max="6" width="47.42578125" customWidth="1"/>
    <col min="7" max="7" width="39.42578125" customWidth="1"/>
  </cols>
  <sheetData>
    <row r="1" spans="1:7" s="727" customFormat="1" ht="71.25" customHeight="1" thickBot="1" x14ac:dyDescent="0.3">
      <c r="A1" s="726" t="s">
        <v>1309</v>
      </c>
      <c r="B1" s="471" t="s">
        <v>1310</v>
      </c>
      <c r="C1" s="22"/>
      <c r="G1" s="728"/>
    </row>
    <row r="2" spans="1:7" s="727" customFormat="1" ht="18" customHeight="1" thickBot="1" x14ac:dyDescent="0.3">
      <c r="A2" s="18" t="s">
        <v>315</v>
      </c>
      <c r="B2" s="19" t="s">
        <v>229</v>
      </c>
      <c r="C2" s="500" t="s">
        <v>232</v>
      </c>
      <c r="D2" s="19" t="s">
        <v>342</v>
      </c>
      <c r="E2" s="19" t="s">
        <v>1265</v>
      </c>
      <c r="F2" s="195" t="s">
        <v>344</v>
      </c>
      <c r="G2" s="728"/>
    </row>
    <row r="3" spans="1:7" s="727" customFormat="1" ht="30" customHeight="1" thickBot="1" x14ac:dyDescent="0.3">
      <c r="A3" s="6" t="s">
        <v>1311</v>
      </c>
      <c r="B3" s="6" t="s">
        <v>1312</v>
      </c>
      <c r="C3" s="394" t="s">
        <v>399</v>
      </c>
      <c r="D3" s="1423" t="s">
        <v>400</v>
      </c>
      <c r="E3" s="35"/>
      <c r="F3" s="686" t="s">
        <v>1313</v>
      </c>
      <c r="G3" s="728"/>
    </row>
    <row r="4" spans="1:7" s="727" customFormat="1" ht="18" customHeight="1" thickBot="1" x14ac:dyDescent="0.3">
      <c r="A4" s="151" t="s">
        <v>1314</v>
      </c>
      <c r="B4" s="42" t="s">
        <v>229</v>
      </c>
      <c r="C4" s="492"/>
      <c r="D4" s="3"/>
      <c r="E4" s="3"/>
      <c r="F4" s="200"/>
      <c r="G4" s="728"/>
    </row>
    <row r="5" spans="1:7" s="727" customFormat="1" ht="18" customHeight="1" thickBot="1" x14ac:dyDescent="0.3">
      <c r="A5" s="38"/>
      <c r="B5" s="48"/>
      <c r="C5" s="501"/>
      <c r="D5" s="37"/>
      <c r="E5" s="37"/>
      <c r="F5" s="196"/>
      <c r="G5" s="728"/>
    </row>
    <row r="6" spans="1:7" s="727" customFormat="1" ht="18" customHeight="1" thickBot="1" x14ac:dyDescent="0.3">
      <c r="A6" s="681"/>
      <c r="B6" s="39" t="s">
        <v>813</v>
      </c>
      <c r="C6" s="494" t="str">
        <f>'Input Data'!E348</f>
        <v>Yes</v>
      </c>
      <c r="D6" s="681"/>
      <c r="E6" s="25"/>
      <c r="F6" s="202"/>
      <c r="G6" s="728"/>
    </row>
    <row r="7" spans="1:7" s="727" customFormat="1" ht="18" customHeight="1" thickBot="1" x14ac:dyDescent="0.3">
      <c r="A7" s="681"/>
      <c r="B7" s="679"/>
      <c r="C7" s="114"/>
      <c r="D7" s="47"/>
      <c r="E7" s="1423"/>
      <c r="F7" s="202"/>
      <c r="G7" s="728"/>
    </row>
    <row r="8" spans="1:7" s="727" customFormat="1" ht="18" customHeight="1" thickBot="1" x14ac:dyDescent="0.3">
      <c r="A8" s="128" t="s">
        <v>1315</v>
      </c>
      <c r="B8" s="131" t="s">
        <v>1312</v>
      </c>
      <c r="C8" s="722" t="str">
        <f>C6</f>
        <v>Yes</v>
      </c>
      <c r="D8" s="128"/>
      <c r="E8" s="40" t="str">
        <f>IF(C8="Yes","COMPLIANT","NOT COMPLIANT")</f>
        <v>COMPLIANT</v>
      </c>
      <c r="F8" s="206"/>
      <c r="G8" s="728"/>
    </row>
    <row r="9" spans="1:7" s="727" customFormat="1" ht="15.6" customHeight="1" thickBot="1" x14ac:dyDescent="0.3">
      <c r="A9" s="726"/>
      <c r="B9" s="471"/>
      <c r="C9" s="22"/>
      <c r="G9" s="728"/>
    </row>
    <row r="10" spans="1:7" s="727" customFormat="1" ht="18" customHeight="1" thickBot="1" x14ac:dyDescent="0.3">
      <c r="A10" s="18" t="s">
        <v>315</v>
      </c>
      <c r="B10" s="19" t="s">
        <v>229</v>
      </c>
      <c r="C10" s="524" t="s">
        <v>232</v>
      </c>
      <c r="D10" s="19" t="s">
        <v>342</v>
      </c>
      <c r="E10" s="19" t="s">
        <v>231</v>
      </c>
      <c r="F10" s="195" t="s">
        <v>344</v>
      </c>
      <c r="G10" s="728"/>
    </row>
    <row r="11" spans="1:7" s="727" customFormat="1" ht="48.75" customHeight="1" thickBot="1" x14ac:dyDescent="0.3">
      <c r="A11" s="679" t="s">
        <v>1311</v>
      </c>
      <c r="B11" s="679" t="s">
        <v>1316</v>
      </c>
      <c r="C11" s="525" t="s">
        <v>1317</v>
      </c>
      <c r="D11" s="35" t="s">
        <v>1318</v>
      </c>
      <c r="E11" s="1423" t="e">
        <f>E61</f>
        <v>#DIV/0!</v>
      </c>
      <c r="F11" s="199" t="s">
        <v>1319</v>
      </c>
      <c r="G11" s="728"/>
    </row>
    <row r="12" spans="1:7" s="727" customFormat="1" ht="18" customHeight="1" thickBot="1" x14ac:dyDescent="0.3">
      <c r="A12" s="17" t="s">
        <v>1320</v>
      </c>
      <c r="B12" s="1169" t="s">
        <v>229</v>
      </c>
      <c r="C12" s="1170"/>
      <c r="D12" s="3"/>
      <c r="E12" s="3"/>
      <c r="F12" s="200"/>
      <c r="G12" s="728"/>
    </row>
    <row r="13" spans="1:7" ht="15.75" thickBot="1" x14ac:dyDescent="0.3">
      <c r="A13" s="98"/>
      <c r="B13" s="1423"/>
      <c r="C13" s="1171"/>
      <c r="D13" s="100"/>
      <c r="E13" s="100"/>
      <c r="F13" s="201"/>
      <c r="G13" s="709"/>
    </row>
    <row r="14" spans="1:7" ht="15.75" thickBot="1" x14ac:dyDescent="0.3">
      <c r="A14" s="26"/>
      <c r="B14" s="66" t="s">
        <v>1159</v>
      </c>
      <c r="C14" s="1172">
        <f>'Input Data'!E349</f>
        <v>0</v>
      </c>
      <c r="D14" s="679">
        <f>'Input Data'!E10</f>
        <v>0</v>
      </c>
      <c r="E14" s="8"/>
      <c r="F14" s="201"/>
      <c r="G14" s="709"/>
    </row>
    <row r="15" spans="1:7" ht="15.75" thickBot="1" x14ac:dyDescent="0.3">
      <c r="A15" s="26"/>
      <c r="B15" s="679" t="s">
        <v>1162</v>
      </c>
      <c r="C15" s="1172">
        <f>'Input Data'!E350</f>
        <v>0</v>
      </c>
      <c r="D15" s="679">
        <f>'Input Data'!E10</f>
        <v>0</v>
      </c>
      <c r="E15" s="8"/>
      <c r="F15" s="201"/>
      <c r="G15" s="709"/>
    </row>
    <row r="16" spans="1:7" x14ac:dyDescent="0.25">
      <c r="A16" s="679"/>
      <c r="B16" s="679" t="s">
        <v>1321</v>
      </c>
      <c r="C16" s="1173">
        <f>'Input Data'!E15</f>
        <v>0</v>
      </c>
      <c r="D16" s="679" t="s">
        <v>367</v>
      </c>
      <c r="E16" s="679"/>
      <c r="F16" s="202"/>
      <c r="G16" s="709"/>
    </row>
    <row r="17" spans="1:7" x14ac:dyDescent="0.25">
      <c r="A17" s="8"/>
      <c r="B17" s="66" t="s">
        <v>1322</v>
      </c>
      <c r="C17" s="551">
        <f>IF(C14=0,(C16*C15)/1000000,C14/1000000)</f>
        <v>0</v>
      </c>
      <c r="D17" s="679" t="str">
        <f>"million "&amp;'Input Data'!E10</f>
        <v>million 0</v>
      </c>
      <c r="E17" s="8"/>
      <c r="F17" s="202"/>
      <c r="G17" s="709"/>
    </row>
    <row r="18" spans="1:7" ht="15.75" thickBot="1" x14ac:dyDescent="0.3">
      <c r="A18" s="679"/>
      <c r="B18" s="679"/>
      <c r="C18" s="551"/>
      <c r="D18" s="679"/>
      <c r="E18" s="679"/>
      <c r="F18" s="202"/>
      <c r="G18" s="709"/>
    </row>
    <row r="19" spans="1:7" ht="15.75" thickBot="1" x14ac:dyDescent="0.3">
      <c r="A19" s="26"/>
      <c r="B19" s="679" t="s">
        <v>1323</v>
      </c>
      <c r="C19" s="1172">
        <f>'Input Data'!E351</f>
        <v>0</v>
      </c>
      <c r="D19" s="679">
        <f>'Input Data'!E10</f>
        <v>0</v>
      </c>
      <c r="E19" s="8"/>
      <c r="F19" s="202"/>
      <c r="G19" s="709"/>
    </row>
    <row r="20" spans="1:7" ht="15.75" thickBot="1" x14ac:dyDescent="0.3">
      <c r="A20" s="679"/>
      <c r="B20" s="679" t="s">
        <v>1324</v>
      </c>
      <c r="C20" s="1172">
        <f>'Input Data'!E352</f>
        <v>0</v>
      </c>
      <c r="D20" s="679" t="s">
        <v>367</v>
      </c>
      <c r="E20" s="191"/>
      <c r="F20" s="203"/>
      <c r="G20" s="709"/>
    </row>
    <row r="21" spans="1:7" ht="15.75" thickBot="1" x14ac:dyDescent="0.3">
      <c r="A21" s="679"/>
      <c r="B21" s="679" t="s">
        <v>1323</v>
      </c>
      <c r="C21" s="1172">
        <f>'Input Data'!E353</f>
        <v>0</v>
      </c>
      <c r="D21" s="679">
        <f>D15</f>
        <v>0</v>
      </c>
      <c r="E21" s="679"/>
      <c r="F21" s="202"/>
      <c r="G21" s="709"/>
    </row>
    <row r="22" spans="1:7" x14ac:dyDescent="0.25">
      <c r="A22" s="8"/>
      <c r="B22" s="679" t="s">
        <v>1323</v>
      </c>
      <c r="C22" s="551">
        <f>IF(C19=0,(C20*C21)/1000000,C19/1000000)</f>
        <v>0</v>
      </c>
      <c r="D22" s="679" t="str">
        <f>"million "&amp;'Input Data'!E10</f>
        <v>million 0</v>
      </c>
      <c r="E22" s="8"/>
      <c r="F22" s="202"/>
      <c r="G22" s="119"/>
    </row>
    <row r="23" spans="1:7" x14ac:dyDescent="0.25">
      <c r="A23" s="679"/>
      <c r="B23" s="679"/>
      <c r="C23" s="551"/>
      <c r="D23" s="679"/>
      <c r="E23" s="679"/>
      <c r="F23" s="202"/>
      <c r="G23" s="709"/>
    </row>
    <row r="24" spans="1:7" ht="15.75" thickBot="1" x14ac:dyDescent="0.3">
      <c r="A24" s="679"/>
      <c r="B24" s="679" t="s">
        <v>1325</v>
      </c>
      <c r="C24" s="525">
        <f>(C17+C22)</f>
        <v>0</v>
      </c>
      <c r="D24" s="679" t="str">
        <f>"million "&amp;'Input Data'!E10</f>
        <v>million 0</v>
      </c>
      <c r="E24" s="679"/>
      <c r="F24" s="202"/>
      <c r="G24" s="709"/>
    </row>
    <row r="25" spans="1:7" ht="27.75" thickBot="1" x14ac:dyDescent="0.3">
      <c r="A25" s="679"/>
      <c r="B25" s="679" t="s">
        <v>820</v>
      </c>
      <c r="C25" s="1172">
        <f>'Input Data'!E354</f>
        <v>0</v>
      </c>
      <c r="D25" s="679">
        <f>'Input Data'!E10</f>
        <v>0</v>
      </c>
      <c r="E25" s="679"/>
      <c r="F25" s="686" t="s">
        <v>821</v>
      </c>
      <c r="G25" s="709"/>
    </row>
    <row r="26" spans="1:7" s="692" customFormat="1" x14ac:dyDescent="0.25">
      <c r="A26" s="679"/>
      <c r="B26" s="66" t="s">
        <v>1108</v>
      </c>
      <c r="C26" s="537">
        <f>'Input Data'!E322</f>
        <v>0</v>
      </c>
      <c r="D26" s="679">
        <f>'Input Data'!E10</f>
        <v>0</v>
      </c>
      <c r="E26" s="117"/>
      <c r="F26" s="201"/>
      <c r="G26" s="709"/>
    </row>
    <row r="27" spans="1:7" s="692" customFormat="1" x14ac:dyDescent="0.25">
      <c r="A27" s="679"/>
      <c r="B27" s="66" t="s">
        <v>1326</v>
      </c>
      <c r="C27" s="1178">
        <f>'Input Data'!E16</f>
        <v>0</v>
      </c>
      <c r="D27" s="683" t="s">
        <v>367</v>
      </c>
      <c r="E27" s="117"/>
      <c r="F27" s="201"/>
      <c r="G27" s="709"/>
    </row>
    <row r="28" spans="1:7" s="692" customFormat="1" x14ac:dyDescent="0.25">
      <c r="A28" s="679"/>
      <c r="B28" s="679" t="s">
        <v>1110</v>
      </c>
      <c r="C28" s="537">
        <f>'Input Data'!E323</f>
        <v>0</v>
      </c>
      <c r="D28" s="683" t="str">
        <f>'Input Data'!E10&amp;" / t of sugar"</f>
        <v>0 / t of sugar</v>
      </c>
      <c r="E28" s="117"/>
      <c r="F28" s="201"/>
      <c r="G28" s="709"/>
    </row>
    <row r="29" spans="1:7" s="692" customFormat="1" x14ac:dyDescent="0.25">
      <c r="A29" s="679"/>
      <c r="B29" s="66" t="s">
        <v>1108</v>
      </c>
      <c r="C29" s="537">
        <f>IF(C26=0,C27*C28,C26)</f>
        <v>0</v>
      </c>
      <c r="D29" s="683">
        <f>D26</f>
        <v>0</v>
      </c>
      <c r="E29" s="100"/>
      <c r="F29" s="201"/>
      <c r="G29" s="709"/>
    </row>
    <row r="30" spans="1:7" s="692" customFormat="1" ht="15.75" thickBot="1" x14ac:dyDescent="0.3">
      <c r="A30" s="679"/>
      <c r="B30" s="66"/>
      <c r="C30" s="537"/>
      <c r="D30" s="683"/>
      <c r="E30" s="100"/>
      <c r="F30" s="201"/>
      <c r="G30" s="709"/>
    </row>
    <row r="31" spans="1:7" s="692" customFormat="1" ht="15.75" thickBot="1" x14ac:dyDescent="0.3">
      <c r="A31" s="679"/>
      <c r="B31" s="66" t="s">
        <v>1173</v>
      </c>
      <c r="C31" s="1172">
        <f>'Input Data'!E355</f>
        <v>0</v>
      </c>
      <c r="D31" s="683">
        <f>D26</f>
        <v>0</v>
      </c>
      <c r="E31" s="100"/>
      <c r="F31" s="201"/>
      <c r="G31" s="709"/>
    </row>
    <row r="32" spans="1:7" s="692" customFormat="1" ht="15.75" thickBot="1" x14ac:dyDescent="0.3">
      <c r="A32" s="679"/>
      <c r="B32" s="679" t="s">
        <v>1327</v>
      </c>
      <c r="C32" s="1179">
        <f>'Input Data'!E17</f>
        <v>0</v>
      </c>
      <c r="D32" s="66" t="s">
        <v>428</v>
      </c>
      <c r="E32" s="100"/>
      <c r="F32" s="201"/>
      <c r="G32" s="709"/>
    </row>
    <row r="33" spans="1:7" s="692" customFormat="1" ht="15.75" thickBot="1" x14ac:dyDescent="0.3">
      <c r="A33" s="679"/>
      <c r="B33" s="679" t="s">
        <v>1176</v>
      </c>
      <c r="C33" s="1172">
        <f>'Input Data'!E356</f>
        <v>0</v>
      </c>
      <c r="D33" s="66" t="str">
        <f>'Input Data'!E11&amp;" / L"</f>
        <v>0 / L</v>
      </c>
      <c r="E33" s="100"/>
      <c r="F33" s="201"/>
      <c r="G33" s="709"/>
    </row>
    <row r="34" spans="1:7" s="692" customFormat="1" x14ac:dyDescent="0.25">
      <c r="A34" s="679"/>
      <c r="B34" s="679" t="s">
        <v>1328</v>
      </c>
      <c r="C34" s="537">
        <f>C33*1000</f>
        <v>0</v>
      </c>
      <c r="D34" s="66" t="str">
        <f>'Input Data'!E11&amp;" / m3"</f>
        <v>0 / m3</v>
      </c>
      <c r="E34" s="100"/>
      <c r="F34" s="197"/>
      <c r="G34" s="709"/>
    </row>
    <row r="35" spans="1:7" s="692" customFormat="1" x14ac:dyDescent="0.25">
      <c r="A35" s="679"/>
      <c r="B35" s="66" t="s">
        <v>1173</v>
      </c>
      <c r="C35" s="1176">
        <f>IF(C31=0,C32*C34,C31)</f>
        <v>0</v>
      </c>
      <c r="D35" s="683">
        <f>D31</f>
        <v>0</v>
      </c>
      <c r="E35" s="100"/>
      <c r="F35" s="201"/>
      <c r="G35" s="709"/>
    </row>
    <row r="36" spans="1:7" s="692" customFormat="1" ht="15.75" thickBot="1" x14ac:dyDescent="0.3">
      <c r="A36" s="679"/>
      <c r="B36" s="66"/>
      <c r="C36" s="537"/>
      <c r="D36" s="683"/>
      <c r="E36" s="100"/>
      <c r="F36" s="201"/>
      <c r="G36" s="709"/>
    </row>
    <row r="37" spans="1:7" s="692" customFormat="1" ht="15.75" thickBot="1" x14ac:dyDescent="0.3">
      <c r="A37" s="679"/>
      <c r="B37" s="66" t="s">
        <v>1329</v>
      </c>
      <c r="C37" s="1172">
        <f>'Input Data'!E357</f>
        <v>0</v>
      </c>
      <c r="D37" s="683">
        <f>D35</f>
        <v>0</v>
      </c>
      <c r="E37" s="100"/>
      <c r="F37" s="201"/>
      <c r="G37" s="709"/>
    </row>
    <row r="38" spans="1:7" s="692" customFormat="1" ht="15.75" thickBot="1" x14ac:dyDescent="0.3">
      <c r="A38" s="679"/>
      <c r="B38" s="679" t="s">
        <v>1330</v>
      </c>
      <c r="C38" s="1172">
        <f>'Input Data'!E314</f>
        <v>0</v>
      </c>
      <c r="D38" s="683" t="s">
        <v>1092</v>
      </c>
      <c r="E38" s="100"/>
      <c r="F38" s="201"/>
      <c r="G38" s="709"/>
    </row>
    <row r="39" spans="1:7" s="692" customFormat="1" ht="15.75" thickBot="1" x14ac:dyDescent="0.3">
      <c r="A39" s="679"/>
      <c r="B39" s="66" t="s">
        <v>1331</v>
      </c>
      <c r="C39" s="537">
        <f>C38*1000*1000</f>
        <v>0</v>
      </c>
      <c r="D39" s="683" t="s">
        <v>1043</v>
      </c>
      <c r="E39" s="100"/>
      <c r="F39" s="197" t="s">
        <v>1332</v>
      </c>
      <c r="G39" s="709"/>
    </row>
    <row r="40" spans="1:7" s="692" customFormat="1" ht="15.75" thickBot="1" x14ac:dyDescent="0.3">
      <c r="A40" s="679"/>
      <c r="B40" s="66" t="s">
        <v>1333</v>
      </c>
      <c r="C40" s="1172">
        <f>'Input Data'!E358</f>
        <v>0</v>
      </c>
      <c r="D40" s="683" t="str">
        <f>'Input Data'!E10&amp;" / kWh"</f>
        <v>0 / kWh</v>
      </c>
      <c r="E40" s="100"/>
      <c r="F40" s="201"/>
      <c r="G40" s="709"/>
    </row>
    <row r="41" spans="1:7" s="692" customFormat="1" x14ac:dyDescent="0.25">
      <c r="A41" s="679"/>
      <c r="B41" s="66" t="s">
        <v>1329</v>
      </c>
      <c r="C41" s="537">
        <f>IF(C37=0,C39*C40,C37)</f>
        <v>0</v>
      </c>
      <c r="D41" s="683">
        <f>D37</f>
        <v>0</v>
      </c>
      <c r="E41" s="100"/>
      <c r="F41" s="201"/>
      <c r="G41" s="709"/>
    </row>
    <row r="42" spans="1:7" s="692" customFormat="1" ht="15.75" thickBot="1" x14ac:dyDescent="0.3">
      <c r="A42" s="679"/>
      <c r="B42" s="66"/>
      <c r="C42" s="537"/>
      <c r="D42" s="683"/>
      <c r="E42" s="100"/>
      <c r="F42" s="201"/>
      <c r="G42" s="709"/>
    </row>
    <row r="43" spans="1:7" s="692" customFormat="1" ht="15.75" thickBot="1" x14ac:dyDescent="0.3">
      <c r="A43" s="679"/>
      <c r="B43" s="66" t="s">
        <v>1183</v>
      </c>
      <c r="C43" s="1172">
        <f>'Input Data'!E359</f>
        <v>0</v>
      </c>
      <c r="D43" s="683">
        <f>D41</f>
        <v>0</v>
      </c>
      <c r="E43" s="100"/>
      <c r="F43" s="201"/>
      <c r="G43" s="709"/>
    </row>
    <row r="44" spans="1:7" s="692" customFormat="1" ht="15.75" thickBot="1" x14ac:dyDescent="0.3">
      <c r="A44" s="679"/>
      <c r="B44" s="66" t="s">
        <v>1334</v>
      </c>
      <c r="C44" s="537">
        <f>'Input Data'!E315</f>
        <v>0</v>
      </c>
      <c r="D44" s="683" t="s">
        <v>865</v>
      </c>
      <c r="E44" s="100"/>
      <c r="F44" s="201"/>
      <c r="G44" s="709"/>
    </row>
    <row r="45" spans="1:7" s="692" customFormat="1" ht="15.75" thickBot="1" x14ac:dyDescent="0.3">
      <c r="A45" s="679"/>
      <c r="B45" s="66" t="s">
        <v>1335</v>
      </c>
      <c r="C45" s="1172">
        <f>'Input Data'!E360</f>
        <v>0</v>
      </c>
      <c r="D45" s="683" t="str">
        <f>'Input Data'!E10&amp;" / t"</f>
        <v>0 / t</v>
      </c>
      <c r="E45" s="100"/>
      <c r="F45" s="201"/>
      <c r="G45" s="709"/>
    </row>
    <row r="46" spans="1:7" s="692" customFormat="1" x14ac:dyDescent="0.25">
      <c r="A46" s="679"/>
      <c r="B46" s="66" t="s">
        <v>1183</v>
      </c>
      <c r="C46" s="537">
        <f>IF(C43=0,C44*C45,C43)</f>
        <v>0</v>
      </c>
      <c r="D46" s="683">
        <f>D43</f>
        <v>0</v>
      </c>
      <c r="E46" s="100"/>
      <c r="F46" s="201"/>
      <c r="G46" s="709"/>
    </row>
    <row r="47" spans="1:7" s="692" customFormat="1" x14ac:dyDescent="0.25">
      <c r="A47" s="679"/>
      <c r="B47" s="104"/>
      <c r="C47" s="537"/>
      <c r="D47" s="683"/>
      <c r="E47" s="100"/>
      <c r="F47" s="201"/>
      <c r="G47" s="709"/>
    </row>
    <row r="48" spans="1:7" s="692" customFormat="1" x14ac:dyDescent="0.25">
      <c r="A48" s="679"/>
      <c r="B48" s="104" t="s">
        <v>1102</v>
      </c>
      <c r="C48" s="537">
        <f>'Input Data'!E319</f>
        <v>0</v>
      </c>
      <c r="D48" s="683">
        <f>D43</f>
        <v>0</v>
      </c>
      <c r="E48" s="117"/>
      <c r="F48" s="201"/>
      <c r="G48" s="709"/>
    </row>
    <row r="49" spans="1:7" s="692" customFormat="1" x14ac:dyDescent="0.25">
      <c r="A49" s="679"/>
      <c r="B49" s="47" t="s">
        <v>1336</v>
      </c>
      <c r="C49" s="537">
        <f>'Input Data'!E320</f>
        <v>0</v>
      </c>
      <c r="D49" s="683" t="s">
        <v>865</v>
      </c>
      <c r="E49" s="117"/>
      <c r="F49" s="201"/>
      <c r="G49" s="709"/>
    </row>
    <row r="50" spans="1:7" s="692" customFormat="1" x14ac:dyDescent="0.25">
      <c r="A50" s="679"/>
      <c r="B50" s="104" t="s">
        <v>1337</v>
      </c>
      <c r="C50" s="1177">
        <f>'Input Data'!E321</f>
        <v>0</v>
      </c>
      <c r="D50" s="683" t="str">
        <f>D45</f>
        <v>0 / t</v>
      </c>
      <c r="E50" s="117"/>
      <c r="F50" s="201"/>
      <c r="G50" s="709"/>
    </row>
    <row r="51" spans="1:7" s="692" customFormat="1" x14ac:dyDescent="0.25">
      <c r="A51" s="679"/>
      <c r="B51" s="104" t="s">
        <v>1102</v>
      </c>
      <c r="C51" s="537">
        <f>IF(C48=0,C49*C50,C48)</f>
        <v>0</v>
      </c>
      <c r="D51" s="683">
        <f>D48</f>
        <v>0</v>
      </c>
      <c r="E51" s="100"/>
      <c r="F51" s="201"/>
      <c r="G51" s="709"/>
    </row>
    <row r="52" spans="1:7" s="692" customFormat="1" x14ac:dyDescent="0.25">
      <c r="A52" s="679"/>
      <c r="B52" s="104"/>
      <c r="C52" s="537"/>
      <c r="D52" s="683"/>
      <c r="E52" s="100"/>
      <c r="F52" s="201"/>
      <c r="G52" s="709"/>
    </row>
    <row r="53" spans="1:7" s="692" customFormat="1" x14ac:dyDescent="0.25">
      <c r="A53" s="679"/>
      <c r="B53" s="66" t="s">
        <v>1338</v>
      </c>
      <c r="C53" s="537">
        <f>C29+C35+C41+C46+C51</f>
        <v>0</v>
      </c>
      <c r="D53" s="683">
        <f>D51</f>
        <v>0</v>
      </c>
      <c r="E53" s="100"/>
      <c r="F53" s="201"/>
      <c r="G53" s="709"/>
    </row>
    <row r="54" spans="1:7" x14ac:dyDescent="0.25">
      <c r="A54" s="679"/>
      <c r="B54" s="679" t="s">
        <v>1339</v>
      </c>
      <c r="C54" s="525">
        <f>C53/1000000</f>
        <v>0</v>
      </c>
      <c r="D54" s="679" t="str">
        <f>"million "&amp;'Input Data'!E10</f>
        <v>million 0</v>
      </c>
      <c r="E54" s="679"/>
      <c r="F54" s="203"/>
      <c r="G54" s="709"/>
    </row>
    <row r="55" spans="1:7" x14ac:dyDescent="0.25">
      <c r="A55" s="679"/>
      <c r="B55" s="679" t="s">
        <v>1340</v>
      </c>
      <c r="C55" s="525">
        <f>C54-(C24+C25/1000000)</f>
        <v>0</v>
      </c>
      <c r="D55" s="679" t="str">
        <f>"million "&amp;'Input Data'!E10</f>
        <v>million 0</v>
      </c>
      <c r="E55" s="679"/>
      <c r="F55" s="202"/>
      <c r="G55" s="709"/>
    </row>
    <row r="56" spans="1:7" ht="15.75" thickBot="1" x14ac:dyDescent="0.3">
      <c r="A56" s="679"/>
      <c r="B56" s="679"/>
      <c r="C56" s="525"/>
      <c r="D56" s="679"/>
      <c r="E56" s="679"/>
      <c r="F56" s="202"/>
      <c r="G56" s="709"/>
    </row>
    <row r="57" spans="1:7" ht="15.75" thickBot="1" x14ac:dyDescent="0.3">
      <c r="A57" s="5"/>
      <c r="B57" s="5" t="s">
        <v>1341</v>
      </c>
      <c r="C57" s="1174" t="e">
        <f>C55*1000000/C16</f>
        <v>#DIV/0!</v>
      </c>
      <c r="D57" s="5" t="str">
        <f>'Input Data'!E10&amp;" / t cane"</f>
        <v>0 / t cane</v>
      </c>
      <c r="E57" s="190"/>
      <c r="F57" s="204"/>
      <c r="G57" s="709"/>
    </row>
    <row r="58" spans="1:7" ht="15.75" thickBot="1" x14ac:dyDescent="0.3">
      <c r="A58" s="679"/>
      <c r="B58" s="679"/>
      <c r="C58" s="525"/>
      <c r="D58" s="679"/>
      <c r="E58" s="679"/>
      <c r="F58" s="202"/>
      <c r="G58" s="709"/>
    </row>
    <row r="59" spans="1:7" ht="15.75" thickBot="1" x14ac:dyDescent="0.3">
      <c r="A59" s="679"/>
      <c r="B59" s="679" t="s">
        <v>1342</v>
      </c>
      <c r="C59" s="1172">
        <f>'Input Data'!E11</f>
        <v>0</v>
      </c>
      <c r="D59" s="679" t="str">
        <f>'Input Data'!E10&amp;" / US $"</f>
        <v>0 / US $</v>
      </c>
      <c r="E59" s="679"/>
      <c r="F59" s="205" t="s">
        <v>1343</v>
      </c>
      <c r="G59" s="709"/>
    </row>
    <row r="60" spans="1:7" ht="15.75" thickBot="1" x14ac:dyDescent="0.3">
      <c r="A60" s="679"/>
      <c r="B60" s="679"/>
      <c r="C60" s="525"/>
      <c r="D60" s="679"/>
      <c r="E60" s="679"/>
      <c r="F60" s="205"/>
      <c r="G60" s="709"/>
    </row>
    <row r="61" spans="1:7" ht="15.75" thickBot="1" x14ac:dyDescent="0.3">
      <c r="A61" s="128" t="s">
        <v>1344</v>
      </c>
      <c r="B61" s="128" t="s">
        <v>1316</v>
      </c>
      <c r="C61" s="521" t="e">
        <f>C57/C59</f>
        <v>#DIV/0!</v>
      </c>
      <c r="D61" s="128" t="s">
        <v>1345</v>
      </c>
      <c r="E61" s="16" t="e">
        <f>IF(C61&gt;14,"COMPLIANT","NOT COMPLIANT")</f>
        <v>#DIV/0!</v>
      </c>
      <c r="F61" s="206"/>
      <c r="G61" s="120"/>
    </row>
    <row r="62" spans="1:7" ht="16.5" customHeight="1" thickBot="1" x14ac:dyDescent="0.3">
      <c r="A62" s="726"/>
      <c r="B62" s="471"/>
      <c r="D62" s="727"/>
      <c r="E62" s="727"/>
      <c r="F62" s="727"/>
      <c r="G62" s="120"/>
    </row>
    <row r="63" spans="1:7" ht="15.75" thickBot="1" x14ac:dyDescent="0.3">
      <c r="A63" s="18" t="s">
        <v>315</v>
      </c>
      <c r="B63" s="19" t="s">
        <v>229</v>
      </c>
      <c r="C63" s="500" t="s">
        <v>232</v>
      </c>
      <c r="D63" s="19" t="s">
        <v>342</v>
      </c>
      <c r="E63" s="19" t="s">
        <v>1265</v>
      </c>
      <c r="F63" s="195" t="s">
        <v>344</v>
      </c>
      <c r="G63" s="120"/>
    </row>
    <row r="64" spans="1:7" ht="27.75" thickBot="1" x14ac:dyDescent="0.3">
      <c r="A64" s="6" t="s">
        <v>1311</v>
      </c>
      <c r="B64" s="6" t="s">
        <v>1346</v>
      </c>
      <c r="C64" s="394" t="s">
        <v>1347</v>
      </c>
      <c r="D64" s="1423"/>
      <c r="E64" s="35" t="str">
        <f>E69</f>
        <v>NOT COMPLIANT</v>
      </c>
      <c r="F64" s="686" t="s">
        <v>1313</v>
      </c>
      <c r="G64" s="120"/>
    </row>
    <row r="65" spans="1:7" ht="15.75" thickBot="1" x14ac:dyDescent="0.3">
      <c r="A65" s="151" t="s">
        <v>1348</v>
      </c>
      <c r="B65" s="42" t="s">
        <v>229</v>
      </c>
      <c r="C65" s="492"/>
      <c r="D65" s="3"/>
      <c r="E65" s="3"/>
      <c r="F65" s="200"/>
      <c r="G65" s="120"/>
    </row>
    <row r="66" spans="1:7" ht="15.75" thickBot="1" x14ac:dyDescent="0.3">
      <c r="A66" s="38"/>
      <c r="B66" s="48"/>
      <c r="C66" s="501"/>
      <c r="D66" s="37"/>
      <c r="E66" s="37"/>
      <c r="F66" s="196"/>
      <c r="G66" s="120"/>
    </row>
    <row r="67" spans="1:7" ht="15.75" thickBot="1" x14ac:dyDescent="0.3">
      <c r="A67" s="681"/>
      <c r="B67" s="39" t="s">
        <v>824</v>
      </c>
      <c r="C67" s="494">
        <f>'Input Data'!E361</f>
        <v>0</v>
      </c>
      <c r="D67" s="681" t="s">
        <v>539</v>
      </c>
      <c r="E67" s="25"/>
      <c r="F67" s="202"/>
      <c r="G67" s="172"/>
    </row>
    <row r="68" spans="1:7" ht="15.75" thickBot="1" x14ac:dyDescent="0.3">
      <c r="A68" s="681"/>
      <c r="B68" s="679"/>
      <c r="C68" s="114"/>
      <c r="D68" s="47"/>
      <c r="E68" s="1423"/>
      <c r="F68" s="202"/>
      <c r="G68" s="120"/>
    </row>
    <row r="69" spans="1:7" ht="27.75" thickBot="1" x14ac:dyDescent="0.3">
      <c r="A69" s="128" t="s">
        <v>1349</v>
      </c>
      <c r="B69" s="131" t="s">
        <v>1346</v>
      </c>
      <c r="C69" s="1242">
        <f>C67</f>
        <v>0</v>
      </c>
      <c r="D69" s="128"/>
      <c r="E69" s="40" t="str">
        <f>IF(C69&gt;=6,"COMPLIANT","NOT COMPLIANT")</f>
        <v>NOT COMPLIANT</v>
      </c>
      <c r="F69" s="206"/>
      <c r="G69" s="120"/>
    </row>
    <row r="70" spans="1:7" ht="24" thickBot="1" x14ac:dyDescent="0.3">
      <c r="A70" s="726"/>
      <c r="B70" s="471"/>
      <c r="D70" s="727"/>
      <c r="E70" s="727"/>
      <c r="F70" s="727"/>
      <c r="G70" s="120"/>
    </row>
    <row r="71" spans="1:7" s="692" customFormat="1" ht="17.100000000000001" customHeight="1" thickBot="1" x14ac:dyDescent="0.3">
      <c r="A71" s="18" t="s">
        <v>315</v>
      </c>
      <c r="B71" s="19" t="s">
        <v>229</v>
      </c>
      <c r="C71" s="500" t="s">
        <v>232</v>
      </c>
      <c r="D71" s="19" t="s">
        <v>342</v>
      </c>
      <c r="E71" s="19" t="s">
        <v>1265</v>
      </c>
      <c r="F71" s="195" t="s">
        <v>344</v>
      </c>
      <c r="G71" s="120"/>
    </row>
    <row r="72" spans="1:7" s="692" customFormat="1" ht="18.600000000000001" customHeight="1" thickBot="1" x14ac:dyDescent="0.3">
      <c r="A72" s="6" t="s">
        <v>1311</v>
      </c>
      <c r="B72" s="6" t="s">
        <v>1350</v>
      </c>
      <c r="C72" s="394" t="s">
        <v>399</v>
      </c>
      <c r="D72" s="1423" t="s">
        <v>400</v>
      </c>
      <c r="E72" s="35"/>
      <c r="F72" s="686"/>
      <c r="G72" s="120"/>
    </row>
    <row r="73" spans="1:7" s="692" customFormat="1" ht="15.75" thickBot="1" x14ac:dyDescent="0.3">
      <c r="A73" s="151" t="s">
        <v>1351</v>
      </c>
      <c r="B73" s="42" t="s">
        <v>229</v>
      </c>
      <c r="C73" s="492"/>
      <c r="D73" s="3"/>
      <c r="E73" s="3"/>
      <c r="F73" s="200"/>
      <c r="G73" s="120"/>
    </row>
    <row r="74" spans="1:7" s="692" customFormat="1" ht="15.75" thickBot="1" x14ac:dyDescent="0.3">
      <c r="A74" s="38"/>
      <c r="B74" s="48"/>
      <c r="C74" s="501"/>
      <c r="D74" s="37"/>
      <c r="E74" s="37"/>
      <c r="F74" s="196"/>
      <c r="G74" s="120"/>
    </row>
    <row r="75" spans="1:7" s="692" customFormat="1" ht="15.75" thickBot="1" x14ac:dyDescent="0.3">
      <c r="A75" s="681"/>
      <c r="B75" s="39" t="s">
        <v>827</v>
      </c>
      <c r="C75" s="494" t="str">
        <f>'Input Data'!E362</f>
        <v>Yes</v>
      </c>
      <c r="D75" s="681"/>
      <c r="E75" s="25"/>
      <c r="F75" s="202"/>
      <c r="G75" s="120"/>
    </row>
    <row r="76" spans="1:7" s="692" customFormat="1" ht="15.75" thickBot="1" x14ac:dyDescent="0.3">
      <c r="A76" s="681"/>
      <c r="B76" s="679"/>
      <c r="C76" s="114"/>
      <c r="D76" s="47"/>
      <c r="E76" s="1423"/>
      <c r="F76" s="202"/>
      <c r="G76" s="120"/>
    </row>
    <row r="77" spans="1:7" s="692" customFormat="1" ht="27.75" thickBot="1" x14ac:dyDescent="0.3">
      <c r="A77" s="128" t="s">
        <v>1352</v>
      </c>
      <c r="B77" s="131" t="s">
        <v>1350</v>
      </c>
      <c r="C77" s="722" t="str">
        <f>C75</f>
        <v>Yes</v>
      </c>
      <c r="D77" s="128"/>
      <c r="E77" s="40" t="str">
        <f>IF(C77="Yes","COMPLIANT","NOT COMPLIANT")</f>
        <v>COMPLIANT</v>
      </c>
      <c r="F77" s="206"/>
      <c r="G77" s="120"/>
    </row>
    <row r="78" spans="1:7" s="692" customFormat="1" ht="23.25" x14ac:dyDescent="0.25">
      <c r="A78" s="726"/>
      <c r="B78" s="471"/>
      <c r="C78" s="22"/>
      <c r="D78" s="727"/>
      <c r="E78" s="727"/>
      <c r="F78" s="727"/>
      <c r="G78" s="120"/>
    </row>
    <row r="79" spans="1:7" s="692" customFormat="1" ht="23.25" x14ac:dyDescent="0.25">
      <c r="A79" s="726"/>
      <c r="B79" s="471"/>
      <c r="C79" s="22"/>
      <c r="D79" s="727"/>
      <c r="E79" s="727"/>
      <c r="F79" s="727"/>
      <c r="G79" s="120"/>
    </row>
    <row r="80" spans="1:7" s="692" customFormat="1" ht="23.25" x14ac:dyDescent="0.25">
      <c r="A80" s="726"/>
      <c r="B80" s="471"/>
      <c r="C80" s="22"/>
      <c r="D80" s="727"/>
      <c r="E80" s="727"/>
      <c r="F80" s="727"/>
      <c r="G80" s="120"/>
    </row>
    <row r="81" spans="1:7" s="692" customFormat="1" ht="23.25" x14ac:dyDescent="0.25">
      <c r="A81" s="726"/>
      <c r="B81" s="471"/>
      <c r="C81" s="22"/>
      <c r="D81" s="727"/>
      <c r="E81" s="727"/>
      <c r="F81" s="727"/>
      <c r="G81" s="120"/>
    </row>
    <row r="82" spans="1:7" s="692" customFormat="1" ht="23.25" x14ac:dyDescent="0.25">
      <c r="A82" s="726"/>
      <c r="B82" s="471"/>
      <c r="C82" s="22"/>
      <c r="D82" s="727"/>
      <c r="E82" s="727"/>
      <c r="F82" s="727"/>
      <c r="G82" s="120"/>
    </row>
    <row r="83" spans="1:7" s="692" customFormat="1" ht="23.25" x14ac:dyDescent="0.25">
      <c r="A83" s="726"/>
      <c r="B83" s="471"/>
      <c r="C83" s="22"/>
      <c r="D83" s="727"/>
      <c r="E83" s="727"/>
      <c r="F83" s="727"/>
      <c r="G83" s="120"/>
    </row>
    <row r="84" spans="1:7" s="692" customFormat="1" ht="23.25" x14ac:dyDescent="0.25">
      <c r="A84" s="726"/>
      <c r="B84" s="471"/>
      <c r="C84" s="22"/>
      <c r="D84" s="727"/>
      <c r="E84" s="727"/>
      <c r="F84" s="727"/>
      <c r="G84" s="120"/>
    </row>
    <row r="85" spans="1:7" s="692" customFormat="1" ht="24" thickBot="1" x14ac:dyDescent="0.3">
      <c r="A85" s="726"/>
      <c r="B85" s="471"/>
      <c r="C85" s="22"/>
      <c r="D85" s="727"/>
      <c r="E85" s="727"/>
      <c r="F85" s="727"/>
      <c r="G85" s="120"/>
    </row>
    <row r="86" spans="1:7" s="692" customFormat="1" ht="15.75" thickBot="1" x14ac:dyDescent="0.3">
      <c r="A86" s="18" t="s">
        <v>316</v>
      </c>
      <c r="B86" s="19" t="s">
        <v>229</v>
      </c>
      <c r="C86" s="500" t="s">
        <v>232</v>
      </c>
      <c r="D86" s="19" t="s">
        <v>342</v>
      </c>
      <c r="E86" s="19" t="s">
        <v>1265</v>
      </c>
      <c r="F86" s="195" t="s">
        <v>344</v>
      </c>
      <c r="G86" s="120"/>
    </row>
    <row r="87" spans="1:7" s="692" customFormat="1" ht="41.25" thickBot="1" x14ac:dyDescent="0.3">
      <c r="A87" s="6" t="s">
        <v>1353</v>
      </c>
      <c r="B87" s="6" t="s">
        <v>1354</v>
      </c>
      <c r="C87" s="394" t="s">
        <v>399</v>
      </c>
      <c r="D87" s="1423" t="s">
        <v>400</v>
      </c>
      <c r="E87" s="35"/>
      <c r="F87" s="686" t="s">
        <v>1313</v>
      </c>
      <c r="G87" s="120"/>
    </row>
    <row r="88" spans="1:7" s="692" customFormat="1" ht="15.75" thickBot="1" x14ac:dyDescent="0.3">
      <c r="A88" s="151" t="s">
        <v>1355</v>
      </c>
      <c r="B88" s="42" t="s">
        <v>229</v>
      </c>
      <c r="C88" s="492"/>
      <c r="D88" s="3"/>
      <c r="E88" s="3"/>
      <c r="F88" s="200"/>
      <c r="G88" s="120"/>
    </row>
    <row r="89" spans="1:7" s="692" customFormat="1" ht="15.75" thickBot="1" x14ac:dyDescent="0.3">
      <c r="A89" s="38"/>
      <c r="B89" s="48"/>
      <c r="C89" s="501"/>
      <c r="D89" s="37"/>
      <c r="E89" s="37"/>
      <c r="F89" s="196"/>
      <c r="G89" s="120"/>
    </row>
    <row r="90" spans="1:7" s="692" customFormat="1" ht="15.75" thickBot="1" x14ac:dyDescent="0.3">
      <c r="A90" s="38"/>
      <c r="B90" s="681" t="s">
        <v>1191</v>
      </c>
      <c r="C90" s="494" t="str">
        <f>'Input Data'!E363</f>
        <v>Yes</v>
      </c>
      <c r="D90" s="37"/>
      <c r="E90" s="37"/>
      <c r="F90" s="196"/>
      <c r="G90" s="120"/>
    </row>
    <row r="91" spans="1:7" s="692" customFormat="1" ht="15.75" thickBot="1" x14ac:dyDescent="0.3">
      <c r="A91" s="38"/>
      <c r="B91" s="39" t="s">
        <v>1356</v>
      </c>
      <c r="C91" s="494">
        <f>'Input Data'!E364</f>
        <v>0</v>
      </c>
      <c r="D91" s="37"/>
      <c r="E91" s="37"/>
      <c r="F91" s="196"/>
      <c r="G91" s="120"/>
    </row>
    <row r="92" spans="1:7" s="692" customFormat="1" ht="15.75" thickBot="1" x14ac:dyDescent="0.3">
      <c r="A92" s="681"/>
      <c r="B92" s="39" t="s">
        <v>1357</v>
      </c>
      <c r="C92" s="494">
        <f>'Input Data'!E365</f>
        <v>0</v>
      </c>
      <c r="D92" s="681"/>
      <c r="E92" s="25"/>
      <c r="F92" s="202"/>
      <c r="G92" s="120"/>
    </row>
    <row r="93" spans="1:7" s="692" customFormat="1" ht="15.75" thickBot="1" x14ac:dyDescent="0.3">
      <c r="A93" s="681"/>
      <c r="B93" s="39" t="s">
        <v>1358</v>
      </c>
      <c r="C93" s="494">
        <f>'Input Data'!E366</f>
        <v>0</v>
      </c>
      <c r="D93" s="681"/>
      <c r="E93" s="25"/>
      <c r="F93" s="202"/>
      <c r="G93" s="120"/>
    </row>
    <row r="94" spans="1:7" s="692" customFormat="1" ht="15.75" thickBot="1" x14ac:dyDescent="0.3">
      <c r="A94" s="681"/>
      <c r="B94" s="679"/>
      <c r="C94" s="114"/>
      <c r="D94" s="47"/>
      <c r="E94" s="1423"/>
      <c r="F94" s="202"/>
      <c r="G94" s="120"/>
    </row>
    <row r="95" spans="1:7" s="692" customFormat="1" ht="27.75" thickBot="1" x14ac:dyDescent="0.3">
      <c r="A95" s="128" t="s">
        <v>1359</v>
      </c>
      <c r="B95" s="131" t="s">
        <v>1354</v>
      </c>
      <c r="C95" s="722" t="str">
        <f>IF(AND(C90="Yes",C91&gt;0, C92&gt;0, C93&gt;0),"Yes", "No")</f>
        <v>No</v>
      </c>
      <c r="D95" s="128"/>
      <c r="E95" s="40" t="str">
        <f>IF(C95 = "Yes","COMPLIANT","NOT COMPLIANT")</f>
        <v>NOT COMPLIANT</v>
      </c>
      <c r="F95" s="206"/>
      <c r="G95" s="120"/>
    </row>
    <row r="96" spans="1:7" s="692" customFormat="1" ht="15.95" customHeight="1" thickBot="1" x14ac:dyDescent="0.3">
      <c r="A96" s="726"/>
      <c r="B96" s="471"/>
      <c r="C96" s="22"/>
      <c r="D96" s="727"/>
      <c r="E96" s="727"/>
      <c r="F96" s="727"/>
      <c r="G96" s="120"/>
    </row>
    <row r="97" spans="1:7" s="692" customFormat="1" ht="15.75" thickBot="1" x14ac:dyDescent="0.3">
      <c r="A97" s="18" t="s">
        <v>316</v>
      </c>
      <c r="B97" s="19" t="s">
        <v>229</v>
      </c>
      <c r="C97" s="524" t="s">
        <v>232</v>
      </c>
      <c r="D97" s="19" t="s">
        <v>342</v>
      </c>
      <c r="E97" s="19" t="s">
        <v>1265</v>
      </c>
      <c r="F97" s="195" t="s">
        <v>344</v>
      </c>
      <c r="G97" s="120"/>
    </row>
    <row r="98" spans="1:7" s="692" customFormat="1" ht="41.25" thickBot="1" x14ac:dyDescent="0.3">
      <c r="A98" s="6" t="s">
        <v>1353</v>
      </c>
      <c r="B98" s="6" t="s">
        <v>1360</v>
      </c>
      <c r="C98" s="525" t="s">
        <v>399</v>
      </c>
      <c r="D98" s="1423" t="s">
        <v>400</v>
      </c>
      <c r="E98" s="35"/>
      <c r="F98" s="686"/>
      <c r="G98" s="120"/>
    </row>
    <row r="99" spans="1:7" s="692" customFormat="1" ht="15.75" thickBot="1" x14ac:dyDescent="0.3">
      <c r="A99" s="151" t="s">
        <v>1361</v>
      </c>
      <c r="B99" s="765" t="s">
        <v>229</v>
      </c>
      <c r="C99" s="1170"/>
      <c r="D99" s="3"/>
      <c r="E99" s="3"/>
      <c r="F99" s="200"/>
      <c r="G99" s="120"/>
    </row>
    <row r="100" spans="1:7" s="692" customFormat="1" ht="15.75" thickBot="1" x14ac:dyDescent="0.3">
      <c r="A100" s="38"/>
      <c r="B100" s="1309"/>
      <c r="C100" s="1310"/>
      <c r="D100" s="37"/>
      <c r="E100" s="37"/>
      <c r="F100" s="196"/>
      <c r="G100" s="120"/>
    </row>
    <row r="101" spans="1:7" s="692" customFormat="1" ht="27.75" thickBot="1" x14ac:dyDescent="0.3">
      <c r="A101" s="679"/>
      <c r="B101" s="65" t="s">
        <v>1200</v>
      </c>
      <c r="C101" s="1311" t="str">
        <f>'Input Data'!E367</f>
        <v>Yes</v>
      </c>
      <c r="D101" s="679"/>
      <c r="E101" s="8"/>
      <c r="F101" s="202"/>
      <c r="G101" s="120"/>
    </row>
    <row r="102" spans="1:7" s="692" customFormat="1" ht="15.75" thickBot="1" x14ac:dyDescent="0.3">
      <c r="A102" s="679"/>
      <c r="B102" s="679"/>
      <c r="C102" s="525"/>
      <c r="D102" s="47"/>
      <c r="E102" s="1423"/>
      <c r="F102" s="202"/>
      <c r="G102" s="120"/>
    </row>
    <row r="103" spans="1:7" s="692" customFormat="1" ht="27.75" thickBot="1" x14ac:dyDescent="0.3">
      <c r="A103" s="128" t="s">
        <v>1362</v>
      </c>
      <c r="B103" s="131" t="s">
        <v>1360</v>
      </c>
      <c r="C103" s="1312" t="str">
        <f>C101</f>
        <v>Yes</v>
      </c>
      <c r="D103" s="128"/>
      <c r="E103" s="40" t="str">
        <f>IF(C103 = "Yes","COMPLIANT","NOT COMPLIANT")</f>
        <v>COMPLIANT</v>
      </c>
      <c r="F103" s="206"/>
      <c r="G103" s="120"/>
    </row>
    <row r="104" spans="1:7" s="692" customFormat="1" ht="24" thickBot="1" x14ac:dyDescent="0.3">
      <c r="A104" s="726"/>
      <c r="B104" s="471"/>
      <c r="C104" s="22"/>
      <c r="D104" s="727"/>
      <c r="E104" s="727"/>
      <c r="F104" s="727"/>
      <c r="G104" s="120"/>
    </row>
    <row r="105" spans="1:7" s="692" customFormat="1" ht="15.75" thickBot="1" x14ac:dyDescent="0.3">
      <c r="A105" s="18" t="s">
        <v>316</v>
      </c>
      <c r="B105" s="19" t="s">
        <v>229</v>
      </c>
      <c r="C105" s="500" t="s">
        <v>232</v>
      </c>
      <c r="D105" s="19" t="s">
        <v>342</v>
      </c>
      <c r="E105" s="19" t="s">
        <v>1265</v>
      </c>
      <c r="F105" s="195" t="s">
        <v>344</v>
      </c>
      <c r="G105" s="120"/>
    </row>
    <row r="106" spans="1:7" s="692" customFormat="1" ht="41.25" thickBot="1" x14ac:dyDescent="0.3">
      <c r="A106" s="36" t="s">
        <v>1353</v>
      </c>
      <c r="B106" s="6" t="s">
        <v>1363</v>
      </c>
      <c r="C106" s="394" t="s">
        <v>1364</v>
      </c>
      <c r="D106" s="1423" t="s">
        <v>210</v>
      </c>
      <c r="E106" s="35"/>
      <c r="F106" s="686"/>
      <c r="G106" s="120"/>
    </row>
    <row r="107" spans="1:7" s="692" customFormat="1" ht="15.75" thickBot="1" x14ac:dyDescent="0.3">
      <c r="A107" s="151" t="s">
        <v>1365</v>
      </c>
      <c r="B107" s="42" t="s">
        <v>229</v>
      </c>
      <c r="C107" s="492"/>
      <c r="D107" s="3"/>
      <c r="E107" s="3"/>
      <c r="F107" s="200"/>
      <c r="G107" s="120"/>
    </row>
    <row r="108" spans="1:7" s="692" customFormat="1" ht="15.75" thickBot="1" x14ac:dyDescent="0.3">
      <c r="A108" s="130" t="s">
        <v>1366</v>
      </c>
      <c r="B108" s="130" t="s">
        <v>1367</v>
      </c>
      <c r="C108" s="385">
        <f>'Input Data'!E368</f>
        <v>0</v>
      </c>
      <c r="D108" s="132" t="s">
        <v>210</v>
      </c>
      <c r="E108" s="16" t="str">
        <f>IF(C108&gt;=50,"COMPLIANT","NOT COMPLIANT")</f>
        <v>NOT COMPLIANT</v>
      </c>
      <c r="F108" s="206"/>
      <c r="G108" s="120"/>
    </row>
    <row r="109" spans="1:7" s="692" customFormat="1" ht="24" thickBot="1" x14ac:dyDescent="0.3">
      <c r="A109" s="726"/>
      <c r="B109" s="471"/>
      <c r="C109" s="22"/>
      <c r="D109" s="727"/>
      <c r="E109" s="727"/>
      <c r="F109" s="727"/>
      <c r="G109" s="120"/>
    </row>
    <row r="110" spans="1:7" s="692" customFormat="1" ht="15.75" thickBot="1" x14ac:dyDescent="0.3">
      <c r="A110" s="152" t="s">
        <v>317</v>
      </c>
      <c r="B110" s="153" t="s">
        <v>229</v>
      </c>
      <c r="C110" s="490" t="s">
        <v>232</v>
      </c>
      <c r="D110" s="153" t="s">
        <v>342</v>
      </c>
      <c r="E110" s="153" t="s">
        <v>1265</v>
      </c>
      <c r="F110" s="238" t="s">
        <v>344</v>
      </c>
      <c r="G110" s="120"/>
    </row>
    <row r="111" spans="1:7" s="692" customFormat="1" ht="41.25" thickBot="1" x14ac:dyDescent="0.3">
      <c r="A111" s="6" t="s">
        <v>1368</v>
      </c>
      <c r="B111" s="6" t="s">
        <v>1369</v>
      </c>
      <c r="C111" s="491" t="s">
        <v>1370</v>
      </c>
      <c r="D111" s="1421" t="s">
        <v>1371</v>
      </c>
      <c r="E111" s="1421"/>
      <c r="F111" s="686"/>
      <c r="G111" s="120"/>
    </row>
    <row r="112" spans="1:7" s="692" customFormat="1" ht="15.75" thickBot="1" x14ac:dyDescent="0.3">
      <c r="A112" s="151" t="s">
        <v>1372</v>
      </c>
      <c r="B112" s="156" t="s">
        <v>229</v>
      </c>
      <c r="C112" s="492"/>
      <c r="D112" s="3"/>
      <c r="E112" s="3"/>
      <c r="F112" s="222"/>
      <c r="G112" s="120"/>
    </row>
    <row r="113" spans="1:7" s="692" customFormat="1" ht="15.75" thickBot="1" x14ac:dyDescent="0.3">
      <c r="A113" s="6"/>
      <c r="B113" s="6" t="s">
        <v>834</v>
      </c>
      <c r="C113" s="1194">
        <f>'Input Data'!$E$369</f>
        <v>0</v>
      </c>
      <c r="D113" s="65" t="s">
        <v>835</v>
      </c>
      <c r="E113" s="1421"/>
      <c r="F113" s="686"/>
      <c r="G113" s="120"/>
    </row>
    <row r="114" spans="1:7" s="692" customFormat="1" ht="15.75" thickBot="1" x14ac:dyDescent="0.3">
      <c r="A114" s="6"/>
      <c r="B114" s="6" t="s">
        <v>838</v>
      </c>
      <c r="C114" s="494">
        <f>'Input Data'!$E$370</f>
        <v>0</v>
      </c>
      <c r="D114" s="1421"/>
      <c r="E114" s="1421"/>
      <c r="F114" s="686" t="s">
        <v>1373</v>
      </c>
      <c r="G114" s="120"/>
    </row>
    <row r="115" spans="1:7" s="692" customFormat="1" x14ac:dyDescent="0.25">
      <c r="A115" s="6"/>
      <c r="B115" s="6" t="s">
        <v>1374</v>
      </c>
      <c r="C115" s="1195" t="str">
        <f>IF(C114=0,"",C113*24/C114)</f>
        <v/>
      </c>
      <c r="D115" s="65" t="s">
        <v>1375</v>
      </c>
      <c r="E115" s="1421"/>
      <c r="F115" s="686"/>
      <c r="G115" s="120"/>
    </row>
    <row r="116" spans="1:7" s="692" customFormat="1" ht="15.75" thickBot="1" x14ac:dyDescent="0.3">
      <c r="A116" s="6"/>
      <c r="B116" s="6"/>
      <c r="C116" s="1195"/>
      <c r="D116" s="1421"/>
      <c r="E116" s="1421"/>
      <c r="F116" s="686"/>
      <c r="G116" s="120"/>
    </row>
    <row r="117" spans="1:7" s="692" customFormat="1" ht="15.75" thickBot="1" x14ac:dyDescent="0.3">
      <c r="A117" s="154" t="s">
        <v>1376</v>
      </c>
      <c r="B117" s="154" t="s">
        <v>1369</v>
      </c>
      <c r="C117" s="519" t="str">
        <f>C115</f>
        <v/>
      </c>
      <c r="D117" s="431" t="str">
        <f>D115</f>
        <v>hours /  employee</v>
      </c>
      <c r="E117" s="155" t="str">
        <f>IF(C117&gt;=16, "COMPLIANT", "NOT COMPLIANT")</f>
        <v>COMPLIANT</v>
      </c>
      <c r="F117" s="228"/>
      <c r="G117" s="120"/>
    </row>
    <row r="118" spans="1:7" s="692" customFormat="1" ht="14.1" customHeight="1" thickBot="1" x14ac:dyDescent="0.3">
      <c r="A118" s="726"/>
      <c r="B118" s="471"/>
      <c r="C118" s="22"/>
      <c r="D118" s="727"/>
      <c r="E118" s="727"/>
      <c r="F118" s="727"/>
      <c r="G118" s="120"/>
    </row>
    <row r="119" spans="1:7" s="692" customFormat="1" ht="15.75" thickBot="1" x14ac:dyDescent="0.3">
      <c r="A119" s="18" t="s">
        <v>318</v>
      </c>
      <c r="B119" s="19" t="s">
        <v>229</v>
      </c>
      <c r="C119" s="500" t="s">
        <v>232</v>
      </c>
      <c r="D119" s="19" t="s">
        <v>342</v>
      </c>
      <c r="E119" s="19" t="s">
        <v>1265</v>
      </c>
      <c r="F119" s="195" t="s">
        <v>344</v>
      </c>
      <c r="G119" s="120"/>
    </row>
    <row r="120" spans="1:7" s="692" customFormat="1" ht="15.75" thickBot="1" x14ac:dyDescent="0.3">
      <c r="A120" s="6" t="s">
        <v>1301</v>
      </c>
      <c r="B120" s="6" t="s">
        <v>1377</v>
      </c>
      <c r="C120" s="394">
        <v>15</v>
      </c>
      <c r="D120" s="1423" t="s">
        <v>210</v>
      </c>
      <c r="E120" s="35" t="e">
        <f>E126</f>
        <v>#DIV/0!</v>
      </c>
      <c r="F120" s="686"/>
      <c r="G120" s="120"/>
    </row>
    <row r="121" spans="1:7" s="692" customFormat="1" ht="15.75" thickBot="1" x14ac:dyDescent="0.3">
      <c r="A121" s="151" t="s">
        <v>1378</v>
      </c>
      <c r="B121" s="42" t="s">
        <v>229</v>
      </c>
      <c r="C121" s="492"/>
      <c r="D121" s="3"/>
      <c r="E121" s="3"/>
      <c r="F121" s="200"/>
      <c r="G121" s="120"/>
    </row>
    <row r="122" spans="1:7" s="692" customFormat="1" ht="15.75" thickBot="1" x14ac:dyDescent="0.3">
      <c r="A122" s="38"/>
      <c r="B122" s="48"/>
      <c r="C122" s="501"/>
      <c r="D122" s="37"/>
      <c r="E122" s="37"/>
      <c r="F122" s="196"/>
      <c r="G122" s="120"/>
    </row>
    <row r="123" spans="1:7" s="692" customFormat="1" ht="15.75" thickBot="1" x14ac:dyDescent="0.3">
      <c r="A123" s="38"/>
      <c r="B123" s="39" t="s">
        <v>848</v>
      </c>
      <c r="C123" s="1197">
        <f>'Input Data'!E371</f>
        <v>0</v>
      </c>
      <c r="D123" s="37"/>
      <c r="E123" s="37"/>
      <c r="F123" s="196"/>
      <c r="G123" s="120"/>
    </row>
    <row r="124" spans="1:7" s="692" customFormat="1" ht="15.75" thickBot="1" x14ac:dyDescent="0.3">
      <c r="A124" s="681"/>
      <c r="B124" s="39" t="s">
        <v>775</v>
      </c>
      <c r="C124" s="1197">
        <f>'Input Data'!E372</f>
        <v>0</v>
      </c>
      <c r="D124" s="681"/>
      <c r="E124" s="25"/>
      <c r="F124" s="202"/>
      <c r="G124" s="709"/>
    </row>
    <row r="125" spans="1:7" s="692" customFormat="1" ht="15.75" thickBot="1" x14ac:dyDescent="0.3">
      <c r="A125" s="681"/>
      <c r="B125" s="679"/>
      <c r="C125" s="114"/>
      <c r="D125" s="47"/>
      <c r="E125" s="1423"/>
      <c r="F125" s="202"/>
      <c r="G125" s="709"/>
    </row>
    <row r="126" spans="1:7" s="692" customFormat="1" ht="15.75" thickBot="1" x14ac:dyDescent="0.3">
      <c r="A126" s="128" t="s">
        <v>1379</v>
      </c>
      <c r="B126" s="131" t="s">
        <v>1377</v>
      </c>
      <c r="C126" s="722" t="e">
        <f>C124/(C123+C124)*100</f>
        <v>#DIV/0!</v>
      </c>
      <c r="D126" s="128"/>
      <c r="E126" s="40" t="e">
        <f>IF(C126&gt;=15,"COMPLIANT","NOT COMPLIANT")</f>
        <v>#DIV/0!</v>
      </c>
      <c r="F126" s="206"/>
      <c r="G126" s="709"/>
    </row>
    <row r="127" spans="1:7" s="692" customFormat="1" ht="23.25" x14ac:dyDescent="0.25">
      <c r="A127" s="726"/>
      <c r="B127" s="471"/>
      <c r="C127" s="22"/>
      <c r="D127" s="727"/>
      <c r="E127" s="727"/>
      <c r="F127" s="727"/>
      <c r="G127" s="709"/>
    </row>
    <row r="128" spans="1:7" s="692" customFormat="1" x14ac:dyDescent="0.25">
      <c r="A128" s="10"/>
      <c r="B128" s="10"/>
      <c r="C128" s="522"/>
      <c r="D128" s="129"/>
      <c r="E128" s="10"/>
      <c r="F128" s="10"/>
      <c r="G128" s="709"/>
    </row>
    <row r="129" spans="1:16" s="692" customFormat="1" ht="15.75" x14ac:dyDescent="0.3">
      <c r="A129" s="4" t="s">
        <v>201</v>
      </c>
      <c r="B129" s="1"/>
      <c r="C129" s="523"/>
      <c r="D129" s="1"/>
      <c r="E129" s="1"/>
      <c r="F129" s="1"/>
      <c r="G129" s="709"/>
    </row>
    <row r="130" spans="1:16" s="692" customFormat="1" ht="15.75" x14ac:dyDescent="0.3">
      <c r="A130" s="4" t="s">
        <v>202</v>
      </c>
      <c r="B130" s="1"/>
      <c r="C130" s="523"/>
      <c r="D130" s="1"/>
      <c r="E130" s="1"/>
      <c r="F130" s="1"/>
      <c r="G130" s="709"/>
    </row>
    <row r="131" spans="1:16" s="692" customFormat="1" x14ac:dyDescent="0.25">
      <c r="A131" s="1"/>
      <c r="B131" s="1"/>
      <c r="C131" s="523"/>
      <c r="D131" s="1"/>
      <c r="E131" s="1"/>
      <c r="F131" s="1"/>
      <c r="G131" s="709"/>
    </row>
    <row r="132" spans="1:16" s="692" customFormat="1" x14ac:dyDescent="0.25">
      <c r="A132" s="1"/>
      <c r="B132" s="1"/>
      <c r="C132" s="523"/>
      <c r="D132" s="1"/>
      <c r="E132" s="1"/>
      <c r="F132" s="1"/>
      <c r="G132" s="709"/>
    </row>
    <row r="133" spans="1:16" s="692" customFormat="1" x14ac:dyDescent="0.25">
      <c r="A133" s="1"/>
      <c r="B133" s="1"/>
      <c r="C133" s="523"/>
      <c r="D133" s="1"/>
      <c r="E133" s="1"/>
      <c r="F133" s="1"/>
      <c r="G133" s="709"/>
    </row>
    <row r="134" spans="1:16" s="692" customFormat="1" x14ac:dyDescent="0.25">
      <c r="A134" s="1"/>
      <c r="B134" s="1"/>
      <c r="C134" s="523"/>
      <c r="D134" s="1"/>
      <c r="E134" s="1"/>
      <c r="F134" s="1"/>
      <c r="G134" s="709"/>
    </row>
    <row r="135" spans="1:16" s="692" customFormat="1" x14ac:dyDescent="0.25">
      <c r="A135" s="1"/>
      <c r="B135" s="1"/>
      <c r="C135" s="523"/>
      <c r="D135" s="1"/>
      <c r="E135" s="1"/>
      <c r="F135" s="1"/>
      <c r="G135" s="709"/>
    </row>
    <row r="136" spans="1:16" s="692" customFormat="1" x14ac:dyDescent="0.25">
      <c r="A136" s="1"/>
      <c r="B136" s="1"/>
      <c r="C136" s="523"/>
      <c r="D136" s="1"/>
      <c r="E136" s="1"/>
      <c r="F136" s="1"/>
      <c r="G136" s="709"/>
    </row>
    <row r="137" spans="1:16" s="692" customFormat="1" x14ac:dyDescent="0.25">
      <c r="A137" s="1"/>
      <c r="B137" s="1"/>
      <c r="C137" s="523"/>
      <c r="D137" s="1"/>
      <c r="E137" s="1"/>
      <c r="F137" s="1"/>
      <c r="G137" s="709"/>
    </row>
    <row r="138" spans="1:16" s="692" customFormat="1" x14ac:dyDescent="0.25">
      <c r="A138" s="1"/>
      <c r="B138" s="1"/>
      <c r="C138" s="523"/>
      <c r="D138" s="1"/>
      <c r="E138" s="1"/>
      <c r="F138" s="1"/>
      <c r="G138" s="709"/>
    </row>
    <row r="139" spans="1:16" x14ac:dyDescent="0.25">
      <c r="A139" s="1"/>
      <c r="B139" s="1"/>
      <c r="C139" s="523"/>
      <c r="D139" s="1"/>
      <c r="E139" s="1"/>
      <c r="F139" s="1"/>
      <c r="G139" s="709"/>
      <c r="H139" s="692"/>
      <c r="I139" s="692"/>
      <c r="J139" s="692"/>
      <c r="K139" s="692"/>
      <c r="L139" s="692"/>
      <c r="M139" s="692"/>
      <c r="N139" s="692"/>
      <c r="O139" s="692"/>
      <c r="P139" s="692"/>
    </row>
    <row r="140" spans="1:16" x14ac:dyDescent="0.25">
      <c r="A140" s="1"/>
      <c r="B140" s="1"/>
      <c r="C140" s="523"/>
      <c r="D140" s="1"/>
      <c r="E140" s="1"/>
      <c r="F140" s="1"/>
      <c r="G140" s="709"/>
      <c r="H140" s="692"/>
      <c r="I140" s="692"/>
      <c r="J140" s="692"/>
      <c r="K140" s="692"/>
      <c r="L140" s="692"/>
      <c r="M140" s="692"/>
      <c r="N140" s="692"/>
      <c r="O140" s="692"/>
      <c r="P140" s="692"/>
    </row>
    <row r="141" spans="1:16" x14ac:dyDescent="0.25">
      <c r="A141" s="1"/>
      <c r="B141" s="1"/>
      <c r="C141" s="523"/>
      <c r="D141" s="1"/>
      <c r="E141" s="1"/>
      <c r="F141" s="1"/>
      <c r="G141" s="167"/>
      <c r="H141" s="692"/>
      <c r="I141" s="692"/>
      <c r="J141" s="692"/>
      <c r="K141" s="692"/>
      <c r="L141" s="692"/>
      <c r="M141" s="692"/>
      <c r="N141" s="692"/>
      <c r="O141" s="692"/>
      <c r="P141" s="692"/>
    </row>
    <row r="142" spans="1:16" x14ac:dyDescent="0.25">
      <c r="A142" s="1"/>
      <c r="B142" s="1"/>
      <c r="C142" s="523"/>
      <c r="D142" s="1"/>
      <c r="E142" s="1"/>
      <c r="F142" s="1"/>
      <c r="G142" s="11"/>
      <c r="H142" s="692"/>
      <c r="I142" s="692"/>
      <c r="J142" s="692"/>
      <c r="K142" s="692"/>
      <c r="L142" s="692"/>
      <c r="M142" s="692"/>
      <c r="N142" s="692"/>
      <c r="O142" s="692"/>
      <c r="P142" s="692"/>
    </row>
    <row r="143" spans="1:16" x14ac:dyDescent="0.25">
      <c r="A143" s="1"/>
      <c r="B143" s="1"/>
      <c r="C143" s="523"/>
      <c r="D143" s="1"/>
      <c r="E143" s="1"/>
      <c r="F143" s="1"/>
      <c r="G143" s="11"/>
      <c r="H143" s="692"/>
      <c r="I143" s="692"/>
      <c r="J143" s="692"/>
      <c r="K143" s="692"/>
      <c r="L143" s="692"/>
      <c r="M143" s="692"/>
      <c r="N143" s="692"/>
      <c r="O143" s="692"/>
      <c r="P143" s="692"/>
    </row>
    <row r="144" spans="1:16" x14ac:dyDescent="0.25">
      <c r="A144" s="1"/>
      <c r="B144" s="1"/>
      <c r="C144" s="523"/>
      <c r="D144" s="1"/>
      <c r="E144" s="1"/>
      <c r="F144" s="1"/>
      <c r="G144" s="11"/>
      <c r="H144" s="692"/>
      <c r="I144" s="692"/>
      <c r="J144" s="692"/>
      <c r="K144" s="692"/>
      <c r="L144" s="692"/>
      <c r="M144" s="692"/>
      <c r="N144" s="692"/>
      <c r="O144" s="692"/>
      <c r="P144" s="692"/>
    </row>
    <row r="145" spans="1:16" x14ac:dyDescent="0.25">
      <c r="A145" s="1"/>
      <c r="B145" s="1"/>
      <c r="C145" s="523"/>
      <c r="D145" s="1"/>
      <c r="E145" s="1"/>
      <c r="F145" s="1"/>
      <c r="G145" s="11"/>
      <c r="H145" s="692"/>
      <c r="I145" s="692"/>
      <c r="J145" s="692"/>
      <c r="K145" s="692"/>
      <c r="L145" s="692"/>
      <c r="M145" s="692"/>
      <c r="N145" s="692"/>
      <c r="O145" s="692"/>
      <c r="P145" s="692"/>
    </row>
    <row r="146" spans="1:16" x14ac:dyDescent="0.25">
      <c r="A146" s="1"/>
      <c r="B146" s="1"/>
      <c r="C146" s="523"/>
      <c r="D146" s="1"/>
      <c r="E146" s="1"/>
      <c r="F146" s="1"/>
      <c r="G146" s="11"/>
      <c r="H146" s="692"/>
      <c r="I146" s="692"/>
      <c r="J146" s="692"/>
      <c r="K146" s="692"/>
      <c r="L146" s="692"/>
      <c r="M146" s="692"/>
      <c r="N146" s="692"/>
      <c r="O146" s="692"/>
      <c r="P146" s="692"/>
    </row>
    <row r="147" spans="1:16" x14ac:dyDescent="0.25">
      <c r="A147" s="1"/>
      <c r="B147" s="1"/>
      <c r="C147" s="523"/>
      <c r="D147" s="1"/>
      <c r="E147" s="1"/>
      <c r="F147" s="1"/>
      <c r="G147" s="11"/>
      <c r="H147" s="692"/>
      <c r="I147" s="692"/>
      <c r="J147" s="692"/>
      <c r="K147" s="692"/>
      <c r="L147" s="692"/>
      <c r="M147" s="692"/>
      <c r="N147" s="692"/>
      <c r="O147" s="692"/>
      <c r="P147" s="692"/>
    </row>
    <row r="148" spans="1:16" x14ac:dyDescent="0.25">
      <c r="A148" s="1"/>
      <c r="B148" s="1"/>
      <c r="C148" s="523"/>
      <c r="D148" s="1"/>
      <c r="E148" s="1"/>
      <c r="F148" s="1"/>
      <c r="G148" s="11"/>
      <c r="H148" s="692"/>
      <c r="I148" s="692"/>
      <c r="J148" s="692"/>
      <c r="K148" s="692"/>
      <c r="L148" s="692"/>
      <c r="M148" s="692"/>
      <c r="N148" s="692"/>
      <c r="O148" s="692"/>
      <c r="P148" s="692"/>
    </row>
    <row r="149" spans="1:16" x14ac:dyDescent="0.25">
      <c r="A149" s="1"/>
      <c r="B149" s="1"/>
      <c r="C149" s="523"/>
      <c r="D149" s="1"/>
      <c r="E149" s="1"/>
      <c r="F149" s="1"/>
      <c r="G149" s="11"/>
      <c r="H149" s="692"/>
      <c r="I149" s="692"/>
      <c r="J149" s="692"/>
      <c r="K149" s="692"/>
      <c r="L149" s="692"/>
      <c r="M149" s="692"/>
      <c r="N149" s="692"/>
      <c r="O149" s="692"/>
      <c r="P149" s="692"/>
    </row>
    <row r="150" spans="1:16" x14ac:dyDescent="0.25">
      <c r="A150" s="1"/>
      <c r="B150" s="1"/>
      <c r="C150" s="523"/>
      <c r="D150" s="1"/>
      <c r="E150" s="1"/>
      <c r="F150" s="1"/>
      <c r="G150" s="11"/>
      <c r="H150" s="692"/>
      <c r="I150" s="692"/>
      <c r="J150" s="692"/>
      <c r="K150" s="692"/>
      <c r="L150" s="692"/>
      <c r="M150" s="692"/>
      <c r="N150" s="692"/>
      <c r="O150" s="692"/>
      <c r="P150" s="692"/>
    </row>
    <row r="151" spans="1:16" x14ac:dyDescent="0.25">
      <c r="A151" s="692"/>
      <c r="B151" s="692"/>
      <c r="D151" s="692"/>
      <c r="E151" s="692"/>
      <c r="F151" s="692"/>
      <c r="G151" s="11"/>
      <c r="H151" s="692"/>
      <c r="I151" s="692"/>
      <c r="J151" s="692"/>
      <c r="K151" s="692"/>
      <c r="L151" s="692"/>
      <c r="M151" s="692"/>
      <c r="N151" s="692"/>
      <c r="O151" s="692"/>
      <c r="P151" s="692"/>
    </row>
    <row r="152" spans="1:16" x14ac:dyDescent="0.25">
      <c r="A152" s="692"/>
      <c r="B152" s="692"/>
      <c r="D152" s="692"/>
      <c r="E152" s="692"/>
      <c r="F152" s="692"/>
      <c r="G152" s="11"/>
      <c r="H152" s="692"/>
      <c r="I152" s="692"/>
      <c r="J152" s="692"/>
      <c r="K152" s="692"/>
      <c r="L152" s="692"/>
      <c r="M152" s="692"/>
      <c r="N152" s="692"/>
      <c r="O152" s="692"/>
      <c r="P152" s="692"/>
    </row>
    <row r="153" spans="1:16" x14ac:dyDescent="0.25">
      <c r="A153" s="692"/>
      <c r="B153" s="692"/>
      <c r="D153" s="692"/>
      <c r="E153" s="692"/>
      <c r="F153" s="692"/>
      <c r="G153" s="11"/>
      <c r="H153" s="692"/>
      <c r="I153" s="692"/>
      <c r="J153" s="692"/>
      <c r="K153" s="692"/>
      <c r="L153" s="692"/>
      <c r="M153" s="692"/>
      <c r="N153" s="692"/>
      <c r="O153" s="692"/>
      <c r="P153" s="692"/>
    </row>
    <row r="154" spans="1:16" x14ac:dyDescent="0.25">
      <c r="A154" s="692"/>
      <c r="B154" s="692"/>
      <c r="D154" s="692"/>
      <c r="E154" s="692"/>
      <c r="F154" s="692"/>
      <c r="G154" s="11"/>
      <c r="H154" s="692"/>
      <c r="I154" s="692"/>
      <c r="J154" s="692"/>
      <c r="K154" s="692"/>
      <c r="L154" s="692"/>
      <c r="M154" s="692"/>
      <c r="N154" s="692"/>
      <c r="O154" s="692"/>
      <c r="P154" s="692"/>
    </row>
    <row r="155" spans="1:16" x14ac:dyDescent="0.25">
      <c r="A155" s="692"/>
      <c r="B155" s="692"/>
      <c r="D155" s="692"/>
      <c r="E155" s="692"/>
      <c r="F155" s="692"/>
      <c r="G155" s="11"/>
      <c r="H155" s="692"/>
      <c r="I155" s="692"/>
      <c r="J155" s="692"/>
      <c r="K155" s="692"/>
      <c r="L155" s="692"/>
      <c r="M155" s="692"/>
      <c r="N155" s="692"/>
      <c r="O155" s="692"/>
      <c r="P155" s="692"/>
    </row>
    <row r="156" spans="1:16" x14ac:dyDescent="0.25">
      <c r="A156" s="692"/>
      <c r="B156" s="692"/>
      <c r="D156" s="692"/>
      <c r="E156" s="692"/>
      <c r="F156" s="692"/>
      <c r="G156" s="11"/>
      <c r="H156" s="692"/>
      <c r="I156" s="692"/>
      <c r="J156" s="692"/>
      <c r="K156" s="692"/>
      <c r="L156" s="692"/>
      <c r="M156" s="692"/>
      <c r="N156" s="692"/>
      <c r="O156" s="692"/>
      <c r="P156" s="692"/>
    </row>
    <row r="157" spans="1:16" s="168" customFormat="1" x14ac:dyDescent="0.25">
      <c r="A157" s="692"/>
      <c r="B157" s="692"/>
      <c r="C157" s="22"/>
      <c r="D157" s="692"/>
      <c r="E157" s="692"/>
      <c r="F157" s="692"/>
      <c r="G157" s="11"/>
    </row>
    <row r="158" spans="1:16" x14ac:dyDescent="0.25">
      <c r="A158" s="692"/>
      <c r="B158" s="692"/>
      <c r="D158" s="692"/>
      <c r="E158" s="692"/>
      <c r="F158" s="692"/>
      <c r="G158" s="11"/>
      <c r="H158" s="709"/>
      <c r="I158" s="709"/>
      <c r="J158" s="709"/>
      <c r="K158" s="709"/>
      <c r="L158" s="709"/>
      <c r="M158" s="709"/>
      <c r="N158" s="709"/>
      <c r="O158" s="709"/>
      <c r="P158" s="709"/>
    </row>
    <row r="159" spans="1:16" x14ac:dyDescent="0.25">
      <c r="A159" s="692"/>
      <c r="B159" s="692"/>
      <c r="D159" s="692"/>
      <c r="E159" s="692"/>
      <c r="F159" s="692"/>
      <c r="G159" s="11"/>
      <c r="H159" s="709"/>
      <c r="I159" s="709"/>
      <c r="J159" s="709"/>
      <c r="K159" s="709"/>
      <c r="L159" s="709"/>
      <c r="M159" s="709"/>
      <c r="N159" s="709"/>
      <c r="O159" s="709"/>
      <c r="P159" s="709"/>
    </row>
    <row r="160" spans="1:16" x14ac:dyDescent="0.25">
      <c r="A160" s="692"/>
      <c r="B160" s="692"/>
      <c r="D160" s="692"/>
      <c r="E160" s="692"/>
      <c r="F160" s="692"/>
      <c r="G160" s="11"/>
      <c r="H160" s="709"/>
      <c r="I160" s="709"/>
      <c r="J160" s="709"/>
      <c r="K160" s="709"/>
      <c r="L160" s="709"/>
      <c r="M160" s="709"/>
      <c r="N160" s="709"/>
      <c r="O160" s="709"/>
      <c r="P160" s="709"/>
    </row>
    <row r="161" spans="1:16" x14ac:dyDescent="0.25">
      <c r="A161" s="692"/>
      <c r="B161" s="692"/>
      <c r="D161" s="692"/>
      <c r="E161" s="692"/>
      <c r="F161" s="692"/>
      <c r="G161" s="11"/>
      <c r="H161" s="709"/>
      <c r="I161" s="709"/>
      <c r="J161" s="709"/>
      <c r="K161" s="709"/>
      <c r="L161" s="709"/>
      <c r="M161" s="709"/>
      <c r="N161" s="709"/>
      <c r="O161" s="709"/>
      <c r="P161" s="709"/>
    </row>
    <row r="162" spans="1:16" x14ac:dyDescent="0.25">
      <c r="A162" s="692"/>
      <c r="B162" s="692"/>
      <c r="D162" s="692"/>
      <c r="E162" s="692"/>
      <c r="F162" s="692"/>
      <c r="G162" s="11"/>
      <c r="H162" s="709"/>
      <c r="I162" s="709"/>
      <c r="J162" s="709"/>
      <c r="K162" s="709"/>
      <c r="L162" s="709"/>
      <c r="M162" s="709"/>
      <c r="N162" s="709"/>
      <c r="O162" s="709"/>
      <c r="P162" s="709"/>
    </row>
    <row r="163" spans="1:16" x14ac:dyDescent="0.25">
      <c r="A163" s="692"/>
      <c r="B163" s="692"/>
      <c r="D163" s="692"/>
      <c r="E163" s="692"/>
      <c r="F163" s="692"/>
      <c r="G163" s="11"/>
      <c r="H163" s="709"/>
      <c r="I163" s="709"/>
      <c r="J163" s="709"/>
      <c r="K163" s="709"/>
      <c r="L163" s="709"/>
      <c r="M163" s="709"/>
      <c r="N163" s="709"/>
      <c r="O163" s="709"/>
      <c r="P163" s="709"/>
    </row>
    <row r="164" spans="1:16" x14ac:dyDescent="0.25">
      <c r="A164" s="692"/>
      <c r="B164" s="692"/>
      <c r="D164" s="692"/>
      <c r="E164" s="692"/>
      <c r="F164" s="692"/>
      <c r="G164" s="11"/>
      <c r="H164" s="709"/>
      <c r="I164" s="709"/>
      <c r="J164" s="709"/>
      <c r="K164" s="709"/>
      <c r="L164" s="709"/>
      <c r="M164" s="709"/>
      <c r="N164" s="709"/>
      <c r="O164" s="709"/>
      <c r="P164" s="709"/>
    </row>
    <row r="165" spans="1:16" x14ac:dyDescent="0.25">
      <c r="A165" s="692"/>
      <c r="B165" s="692"/>
      <c r="D165" s="692"/>
      <c r="E165" s="692"/>
      <c r="F165" s="692"/>
      <c r="G165" s="101"/>
      <c r="H165" s="709"/>
      <c r="I165" s="709"/>
      <c r="J165" s="709"/>
      <c r="K165" s="709"/>
      <c r="L165" s="709"/>
      <c r="M165" s="709"/>
      <c r="N165" s="709"/>
      <c r="O165" s="709"/>
      <c r="P165" s="709"/>
    </row>
    <row r="166" spans="1:16" x14ac:dyDescent="0.25">
      <c r="A166" s="692"/>
      <c r="B166" s="692"/>
      <c r="D166" s="692"/>
      <c r="E166" s="692"/>
      <c r="F166" s="692"/>
      <c r="G166" s="101"/>
      <c r="H166" s="709"/>
      <c r="I166" s="709"/>
      <c r="J166" s="709"/>
      <c r="K166" s="709"/>
      <c r="L166" s="709"/>
      <c r="M166" s="709"/>
      <c r="N166" s="709"/>
      <c r="O166" s="709"/>
      <c r="P166" s="709"/>
    </row>
    <row r="167" spans="1:16" x14ac:dyDescent="0.25">
      <c r="A167" s="692"/>
      <c r="B167" s="692"/>
      <c r="D167" s="692"/>
      <c r="E167" s="692"/>
      <c r="F167" s="692"/>
      <c r="G167" s="101"/>
      <c r="H167" s="709"/>
      <c r="I167" s="709"/>
      <c r="J167" s="709"/>
      <c r="K167" s="709"/>
      <c r="L167" s="709"/>
      <c r="M167" s="709"/>
      <c r="N167" s="709"/>
      <c r="O167" s="709"/>
      <c r="P167" s="709"/>
    </row>
    <row r="168" spans="1:16" s="692" customFormat="1" x14ac:dyDescent="0.25">
      <c r="C168" s="22"/>
      <c r="G168" s="11"/>
      <c r="H168" s="709"/>
      <c r="I168" s="709"/>
      <c r="J168" s="709"/>
      <c r="K168" s="709"/>
      <c r="L168" s="709"/>
      <c r="M168" s="709"/>
      <c r="N168" s="709"/>
      <c r="O168" s="709"/>
      <c r="P168" s="709"/>
    </row>
    <row r="169" spans="1:16" x14ac:dyDescent="0.25">
      <c r="A169" s="692"/>
      <c r="B169" s="692"/>
      <c r="D169" s="692"/>
      <c r="E169" s="692"/>
      <c r="F169" s="692"/>
      <c r="G169" s="11"/>
      <c r="H169" s="709"/>
      <c r="I169" s="709"/>
      <c r="J169" s="709"/>
      <c r="K169" s="709"/>
      <c r="L169" s="709"/>
      <c r="M169" s="709"/>
      <c r="N169" s="709"/>
      <c r="O169" s="709"/>
      <c r="P169" s="709"/>
    </row>
    <row r="170" spans="1:16" x14ac:dyDescent="0.25">
      <c r="A170" s="692"/>
      <c r="B170" s="692"/>
      <c r="D170" s="692"/>
      <c r="E170" s="692"/>
      <c r="F170" s="692"/>
      <c r="G170" s="11"/>
      <c r="H170" s="709"/>
      <c r="I170" s="709"/>
      <c r="J170" s="709"/>
      <c r="K170" s="709"/>
      <c r="L170" s="709"/>
      <c r="M170" s="709"/>
      <c r="N170" s="709"/>
      <c r="O170" s="709"/>
      <c r="P170" s="709"/>
    </row>
    <row r="171" spans="1:16" x14ac:dyDescent="0.25">
      <c r="A171" s="692"/>
      <c r="B171" s="692"/>
      <c r="D171" s="692"/>
      <c r="E171" s="692"/>
      <c r="F171" s="692"/>
      <c r="G171" s="11"/>
      <c r="H171" s="709"/>
      <c r="I171" s="709"/>
      <c r="J171" s="709"/>
      <c r="K171" s="709"/>
      <c r="L171" s="709"/>
      <c r="M171" s="709"/>
      <c r="N171" s="709"/>
      <c r="O171" s="709"/>
      <c r="P171" s="709"/>
    </row>
    <row r="172" spans="1:16" x14ac:dyDescent="0.25">
      <c r="A172" s="692"/>
      <c r="B172" s="692"/>
      <c r="D172" s="692"/>
      <c r="E172" s="692"/>
      <c r="F172" s="692"/>
      <c r="G172" s="11"/>
      <c r="H172" s="709"/>
      <c r="I172" s="709"/>
      <c r="J172" s="709"/>
      <c r="K172" s="709"/>
      <c r="L172" s="709"/>
      <c r="M172" s="709"/>
      <c r="N172" s="709"/>
      <c r="O172" s="709"/>
      <c r="P172" s="709"/>
    </row>
    <row r="173" spans="1:16" x14ac:dyDescent="0.25">
      <c r="A173" s="692"/>
      <c r="B173" s="692"/>
      <c r="D173" s="692"/>
      <c r="E173" s="692"/>
      <c r="F173" s="692"/>
      <c r="G173" s="11"/>
      <c r="H173" s="709"/>
      <c r="I173" s="709"/>
      <c r="J173" s="709"/>
      <c r="K173" s="709"/>
      <c r="L173" s="709"/>
      <c r="M173" s="709"/>
      <c r="N173" s="709"/>
      <c r="O173" s="709"/>
      <c r="P173" s="709"/>
    </row>
    <row r="174" spans="1:16" x14ac:dyDescent="0.25">
      <c r="A174" s="692"/>
      <c r="B174" s="692"/>
      <c r="D174" s="692"/>
      <c r="E174" s="692"/>
      <c r="F174" s="692"/>
      <c r="G174" s="11"/>
      <c r="H174" s="692"/>
      <c r="I174" s="692"/>
      <c r="J174" s="692"/>
      <c r="K174" s="692"/>
      <c r="L174" s="692"/>
      <c r="M174" s="692"/>
      <c r="N174" s="692"/>
      <c r="O174" s="692"/>
      <c r="P174" s="692"/>
    </row>
    <row r="175" spans="1:16" x14ac:dyDescent="0.25">
      <c r="A175" s="692"/>
      <c r="B175" s="692"/>
      <c r="D175" s="692"/>
      <c r="E175" s="692"/>
      <c r="F175" s="692"/>
      <c r="G175" s="11"/>
      <c r="H175" s="692"/>
      <c r="I175" s="692"/>
      <c r="J175" s="692"/>
      <c r="K175" s="692"/>
      <c r="L175" s="692"/>
      <c r="M175" s="692"/>
      <c r="N175" s="692"/>
      <c r="O175" s="692"/>
      <c r="P175" s="692"/>
    </row>
    <row r="176" spans="1:16" x14ac:dyDescent="0.25">
      <c r="A176" s="692"/>
      <c r="B176" s="692"/>
      <c r="D176" s="692"/>
      <c r="E176" s="692"/>
      <c r="F176" s="692"/>
      <c r="G176" s="11"/>
      <c r="H176" s="692"/>
      <c r="I176" s="692"/>
      <c r="J176" s="692"/>
      <c r="K176" s="692"/>
      <c r="L176" s="692"/>
      <c r="M176" s="692"/>
      <c r="N176" s="692"/>
      <c r="O176" s="692"/>
      <c r="P176" s="692"/>
    </row>
    <row r="177" spans="1:16" x14ac:dyDescent="0.25">
      <c r="A177" s="692"/>
      <c r="B177" s="692"/>
      <c r="D177" s="692"/>
      <c r="E177" s="692"/>
      <c r="F177" s="692"/>
      <c r="G177" s="11"/>
      <c r="H177" s="692"/>
      <c r="I177" s="692"/>
      <c r="J177" s="692"/>
      <c r="K177" s="692"/>
      <c r="L177" s="692"/>
      <c r="M177" s="692"/>
      <c r="N177" s="692"/>
      <c r="O177" s="692"/>
      <c r="P177" s="692"/>
    </row>
    <row r="178" spans="1:16" x14ac:dyDescent="0.25">
      <c r="A178" s="692"/>
      <c r="B178" s="692"/>
      <c r="D178" s="692"/>
      <c r="E178" s="692"/>
      <c r="F178" s="692"/>
      <c r="G178" s="11"/>
      <c r="H178" s="692"/>
      <c r="I178" s="692"/>
      <c r="J178" s="692"/>
      <c r="K178" s="692"/>
      <c r="L178" s="692"/>
      <c r="M178" s="692"/>
      <c r="N178" s="692"/>
      <c r="O178" s="692"/>
      <c r="P178" s="692"/>
    </row>
    <row r="179" spans="1:16" x14ac:dyDescent="0.25">
      <c r="A179" s="692"/>
      <c r="B179" s="692"/>
      <c r="D179" s="692"/>
      <c r="E179" s="692"/>
      <c r="F179" s="692"/>
      <c r="G179" s="11"/>
      <c r="H179" s="692"/>
      <c r="I179" s="692"/>
      <c r="J179" s="692"/>
      <c r="K179" s="692"/>
      <c r="L179" s="692"/>
      <c r="M179" s="692"/>
      <c r="N179" s="692"/>
      <c r="O179" s="692"/>
      <c r="P179" s="692"/>
    </row>
    <row r="180" spans="1:16" x14ac:dyDescent="0.25">
      <c r="A180" s="692"/>
      <c r="B180" s="692"/>
      <c r="D180" s="692"/>
      <c r="E180" s="692"/>
      <c r="F180" s="692"/>
      <c r="G180" s="11"/>
      <c r="H180" s="692"/>
      <c r="I180" s="692"/>
      <c r="J180" s="692"/>
      <c r="K180" s="692"/>
      <c r="L180" s="692"/>
      <c r="M180" s="692"/>
      <c r="N180" s="692"/>
      <c r="O180" s="692"/>
      <c r="P180" s="692"/>
    </row>
    <row r="181" spans="1:16" x14ac:dyDescent="0.25">
      <c r="A181" s="692"/>
      <c r="B181" s="692"/>
      <c r="D181" s="692"/>
      <c r="E181" s="692"/>
      <c r="F181" s="692"/>
      <c r="G181" s="11"/>
      <c r="H181" s="692"/>
      <c r="I181" s="692"/>
      <c r="J181" s="692"/>
      <c r="K181" s="692"/>
      <c r="L181" s="692"/>
      <c r="M181" s="692"/>
      <c r="N181" s="692"/>
      <c r="O181" s="692"/>
      <c r="P181" s="692"/>
    </row>
    <row r="182" spans="1:16" x14ac:dyDescent="0.25">
      <c r="A182" s="692"/>
      <c r="B182" s="692"/>
      <c r="D182" s="692"/>
      <c r="E182" s="692"/>
      <c r="F182" s="692"/>
      <c r="G182" s="11"/>
      <c r="H182" s="692"/>
      <c r="I182" s="692"/>
      <c r="J182" s="692"/>
      <c r="K182" s="692"/>
      <c r="L182" s="692"/>
      <c r="M182" s="692"/>
      <c r="N182" s="692"/>
      <c r="O182" s="692"/>
      <c r="P182" s="692"/>
    </row>
    <row r="183" spans="1:16" x14ac:dyDescent="0.25">
      <c r="A183" s="692"/>
      <c r="B183" s="692"/>
      <c r="D183" s="692"/>
      <c r="E183" s="692"/>
      <c r="F183" s="692"/>
      <c r="G183" s="11"/>
      <c r="H183" s="692"/>
      <c r="I183" s="692"/>
      <c r="J183" s="692"/>
      <c r="K183" s="692"/>
      <c r="L183" s="692"/>
      <c r="M183" s="692"/>
      <c r="N183" s="692"/>
      <c r="O183" s="692"/>
      <c r="P183" s="692"/>
    </row>
    <row r="184" spans="1:16" x14ac:dyDescent="0.25">
      <c r="A184" s="692"/>
      <c r="B184" s="692"/>
      <c r="D184" s="692"/>
      <c r="E184" s="692"/>
      <c r="F184" s="692"/>
      <c r="G184" s="11"/>
      <c r="H184" s="692"/>
      <c r="I184" s="692"/>
      <c r="J184" s="692"/>
      <c r="K184" s="692"/>
      <c r="L184" s="692"/>
      <c r="M184" s="692"/>
      <c r="N184" s="692"/>
      <c r="O184" s="692"/>
      <c r="P184" s="692"/>
    </row>
    <row r="185" spans="1:16" x14ac:dyDescent="0.25">
      <c r="A185" s="692"/>
      <c r="B185" s="692"/>
      <c r="D185" s="692"/>
      <c r="E185" s="692"/>
      <c r="F185" s="692"/>
      <c r="G185" s="11"/>
      <c r="H185" s="692"/>
      <c r="I185" s="692"/>
      <c r="J185" s="692"/>
      <c r="K185" s="692"/>
      <c r="L185" s="692"/>
      <c r="M185" s="692"/>
      <c r="N185" s="692"/>
      <c r="O185" s="692"/>
      <c r="P185" s="692"/>
    </row>
    <row r="186" spans="1:16" x14ac:dyDescent="0.25">
      <c r="A186" s="692"/>
      <c r="B186" s="692"/>
      <c r="D186" s="692"/>
      <c r="E186" s="692"/>
      <c r="F186" s="692"/>
      <c r="G186" s="11"/>
      <c r="H186" s="692"/>
      <c r="I186" s="692"/>
      <c r="J186" s="692"/>
      <c r="K186" s="692"/>
      <c r="L186" s="692"/>
      <c r="M186" s="692"/>
      <c r="N186" s="692"/>
      <c r="O186" s="692"/>
      <c r="P186" s="692"/>
    </row>
    <row r="187" spans="1:16" x14ac:dyDescent="0.25">
      <c r="A187" s="692"/>
      <c r="B187" s="692"/>
      <c r="D187" s="692"/>
      <c r="E187" s="692"/>
      <c r="F187" s="692"/>
      <c r="G187" s="11"/>
      <c r="H187" s="692"/>
      <c r="I187" s="692"/>
      <c r="J187" s="692"/>
      <c r="K187" s="692"/>
      <c r="L187" s="692"/>
      <c r="M187" s="692"/>
      <c r="N187" s="692"/>
      <c r="O187" s="692"/>
      <c r="P187" s="692"/>
    </row>
    <row r="188" spans="1:16" s="692" customFormat="1" x14ac:dyDescent="0.25">
      <c r="C188" s="22"/>
      <c r="G188" s="11"/>
    </row>
    <row r="189" spans="1:16" s="692" customFormat="1" x14ac:dyDescent="0.25">
      <c r="C189" s="22"/>
      <c r="G189" s="709"/>
    </row>
    <row r="190" spans="1:16" x14ac:dyDescent="0.25">
      <c r="A190" s="692"/>
      <c r="B190" s="692"/>
      <c r="D190" s="692"/>
      <c r="E190" s="692"/>
      <c r="F190" s="692"/>
      <c r="G190" s="709"/>
      <c r="H190" s="692"/>
      <c r="I190" s="692"/>
      <c r="J190" s="692"/>
      <c r="K190" s="692"/>
      <c r="L190" s="692"/>
      <c r="M190" s="692"/>
      <c r="N190" s="692"/>
      <c r="O190" s="692"/>
      <c r="P190" s="692"/>
    </row>
    <row r="191" spans="1:16" x14ac:dyDescent="0.25">
      <c r="A191" s="692"/>
      <c r="B191" s="692"/>
      <c r="D191" s="692"/>
      <c r="E191" s="692"/>
      <c r="F191" s="692"/>
      <c r="G191" s="709"/>
      <c r="H191" s="692"/>
      <c r="I191" s="692"/>
      <c r="J191" s="692"/>
      <c r="K191" s="692"/>
      <c r="L191" s="692"/>
      <c r="M191" s="692"/>
      <c r="N191" s="692"/>
      <c r="O191" s="692"/>
      <c r="P191" s="692"/>
    </row>
    <row r="192" spans="1:16" x14ac:dyDescent="0.25">
      <c r="A192" s="692"/>
      <c r="B192" s="692"/>
      <c r="D192" s="692"/>
      <c r="E192" s="692"/>
      <c r="F192" s="692"/>
      <c r="G192" s="709"/>
      <c r="H192" s="692"/>
      <c r="I192" s="692"/>
      <c r="J192" s="692"/>
      <c r="K192" s="692"/>
      <c r="L192" s="692"/>
      <c r="M192" s="692"/>
      <c r="N192" s="692"/>
      <c r="O192" s="692"/>
      <c r="P192" s="692"/>
    </row>
    <row r="193" spans="1:7" x14ac:dyDescent="0.25">
      <c r="A193" s="692"/>
      <c r="B193" s="692"/>
      <c r="D193" s="692"/>
      <c r="E193" s="692"/>
      <c r="F193" s="692"/>
      <c r="G193" s="709"/>
    </row>
    <row r="194" spans="1:7" x14ac:dyDescent="0.25">
      <c r="A194" s="692"/>
      <c r="B194" s="692"/>
      <c r="D194" s="692"/>
      <c r="E194" s="692"/>
      <c r="F194" s="692"/>
      <c r="G194" s="709"/>
    </row>
    <row r="195" spans="1:7" x14ac:dyDescent="0.25">
      <c r="A195" s="692"/>
      <c r="B195" s="692"/>
      <c r="D195" s="692"/>
      <c r="E195" s="692"/>
      <c r="F195" s="692"/>
      <c r="G195" s="709"/>
    </row>
    <row r="196" spans="1:7" x14ac:dyDescent="0.25">
      <c r="A196" s="692"/>
      <c r="B196" s="692"/>
      <c r="D196" s="692"/>
      <c r="E196" s="692"/>
      <c r="F196" s="692"/>
      <c r="G196" s="709"/>
    </row>
    <row r="197" spans="1:7" x14ac:dyDescent="0.25">
      <c r="A197" s="692"/>
      <c r="B197" s="692"/>
      <c r="D197" s="692"/>
      <c r="E197" s="692"/>
      <c r="F197" s="692"/>
      <c r="G197" s="709"/>
    </row>
    <row r="198" spans="1:7" s="692" customFormat="1" x14ac:dyDescent="0.25">
      <c r="C198" s="22"/>
      <c r="G198" s="709"/>
    </row>
    <row r="199" spans="1:7" s="692" customFormat="1" x14ac:dyDescent="0.25">
      <c r="C199" s="22"/>
      <c r="G199" s="709"/>
    </row>
    <row r="200" spans="1:7" x14ac:dyDescent="0.25">
      <c r="A200" s="692"/>
      <c r="B200" s="692"/>
      <c r="D200" s="692"/>
      <c r="E200" s="692"/>
      <c r="F200" s="692"/>
      <c r="G200" s="709"/>
    </row>
    <row r="201" spans="1:7" x14ac:dyDescent="0.25">
      <c r="A201" s="692"/>
      <c r="B201" s="692"/>
      <c r="D201" s="692"/>
      <c r="E201" s="692"/>
      <c r="F201" s="692"/>
      <c r="G201" s="709"/>
    </row>
    <row r="202" spans="1:7" x14ac:dyDescent="0.25">
      <c r="A202" s="692"/>
      <c r="B202" s="692"/>
      <c r="D202" s="692"/>
      <c r="E202" s="692"/>
      <c r="F202" s="692"/>
      <c r="G202" s="709"/>
    </row>
    <row r="203" spans="1:7" x14ac:dyDescent="0.25">
      <c r="A203" s="692"/>
      <c r="B203" s="692"/>
      <c r="D203" s="692"/>
      <c r="E203" s="692"/>
      <c r="F203" s="692"/>
      <c r="G203" s="709"/>
    </row>
    <row r="204" spans="1:7" x14ac:dyDescent="0.25">
      <c r="A204" s="692"/>
      <c r="B204" s="692"/>
      <c r="D204" s="692"/>
      <c r="E204" s="692"/>
      <c r="F204" s="692"/>
      <c r="G204" s="709"/>
    </row>
    <row r="205" spans="1:7" x14ac:dyDescent="0.25">
      <c r="A205" s="692"/>
      <c r="B205" s="692"/>
      <c r="D205" s="692"/>
      <c r="E205" s="692"/>
      <c r="F205" s="692"/>
      <c r="G205" s="709"/>
    </row>
    <row r="206" spans="1:7" s="692" customFormat="1" x14ac:dyDescent="0.25">
      <c r="C206" s="22"/>
      <c r="G206" s="709"/>
    </row>
    <row r="207" spans="1:7" x14ac:dyDescent="0.25">
      <c r="A207" s="692"/>
      <c r="B207" s="692"/>
      <c r="D207" s="692"/>
      <c r="E207" s="692"/>
      <c r="F207" s="692"/>
      <c r="G207" s="709"/>
    </row>
    <row r="208" spans="1:7" x14ac:dyDescent="0.25">
      <c r="A208" s="692"/>
      <c r="B208" s="692"/>
      <c r="D208" s="692"/>
      <c r="E208" s="692"/>
      <c r="F208" s="692"/>
      <c r="G208" s="709"/>
    </row>
    <row r="209" spans="1:7" x14ac:dyDescent="0.25">
      <c r="A209" s="692"/>
      <c r="B209" s="692"/>
      <c r="D209" s="692"/>
      <c r="E209" s="692"/>
      <c r="F209" s="692"/>
      <c r="G209" s="709"/>
    </row>
    <row r="210" spans="1:7" x14ac:dyDescent="0.25">
      <c r="A210" s="692"/>
      <c r="B210" s="692"/>
      <c r="D210" s="692"/>
      <c r="E210" s="692"/>
      <c r="F210" s="692"/>
      <c r="G210" s="709"/>
    </row>
    <row r="211" spans="1:7" x14ac:dyDescent="0.25">
      <c r="A211" s="692"/>
      <c r="B211" s="692"/>
      <c r="D211" s="692"/>
      <c r="E211" s="692"/>
      <c r="F211" s="692"/>
      <c r="G211" s="709"/>
    </row>
    <row r="212" spans="1:7" x14ac:dyDescent="0.25">
      <c r="A212" s="692"/>
      <c r="B212" s="692"/>
      <c r="D212" s="692"/>
      <c r="E212" s="692"/>
      <c r="F212" s="692"/>
      <c r="G212" s="709"/>
    </row>
    <row r="213" spans="1:7" s="692" customFormat="1" x14ac:dyDescent="0.25">
      <c r="C213" s="22"/>
      <c r="G213" s="709"/>
    </row>
    <row r="214" spans="1:7" s="692" customFormat="1" x14ac:dyDescent="0.25">
      <c r="C214" s="22"/>
      <c r="G214" s="709"/>
    </row>
    <row r="215" spans="1:7" x14ac:dyDescent="0.25">
      <c r="A215" s="692"/>
      <c r="B215" s="692"/>
      <c r="D215" s="692"/>
      <c r="E215" s="692"/>
      <c r="F215" s="692"/>
      <c r="G215" s="709"/>
    </row>
    <row r="216" spans="1:7" x14ac:dyDescent="0.25">
      <c r="A216" s="692"/>
      <c r="B216" s="692"/>
      <c r="D216" s="692"/>
      <c r="E216" s="692"/>
      <c r="F216" s="692"/>
      <c r="G216" s="709"/>
    </row>
    <row r="217" spans="1:7" x14ac:dyDescent="0.25">
      <c r="A217" s="692"/>
      <c r="B217" s="692"/>
      <c r="D217" s="692"/>
      <c r="E217" s="692"/>
      <c r="F217" s="692"/>
      <c r="G217" s="709"/>
    </row>
    <row r="218" spans="1:7" x14ac:dyDescent="0.25">
      <c r="A218" s="692"/>
      <c r="B218" s="692"/>
      <c r="D218" s="692"/>
      <c r="E218" s="692"/>
      <c r="F218" s="692"/>
      <c r="G218" s="709"/>
    </row>
    <row r="219" spans="1:7" x14ac:dyDescent="0.25">
      <c r="A219" s="692"/>
      <c r="B219" s="692"/>
      <c r="D219" s="692"/>
      <c r="E219" s="692"/>
      <c r="F219" s="692"/>
      <c r="G219" s="709"/>
    </row>
    <row r="220" spans="1:7" x14ac:dyDescent="0.25">
      <c r="A220" s="692"/>
      <c r="B220" s="692"/>
      <c r="D220" s="692"/>
      <c r="E220" s="692"/>
      <c r="F220" s="692"/>
      <c r="G220" s="709"/>
    </row>
    <row r="221" spans="1:7" x14ac:dyDescent="0.25">
      <c r="A221" s="692"/>
      <c r="B221" s="692"/>
      <c r="D221" s="692"/>
      <c r="E221" s="692"/>
      <c r="F221" s="692"/>
      <c r="G221" s="709"/>
    </row>
    <row r="222" spans="1:7" s="692" customFormat="1" x14ac:dyDescent="0.25">
      <c r="C222" s="22"/>
      <c r="G222" s="709"/>
    </row>
    <row r="223" spans="1:7" x14ac:dyDescent="0.25">
      <c r="A223" s="692"/>
      <c r="B223" s="692"/>
      <c r="D223" s="692"/>
      <c r="E223" s="692"/>
      <c r="F223" s="692"/>
      <c r="G223" s="709"/>
    </row>
    <row r="224" spans="1:7" x14ac:dyDescent="0.25">
      <c r="A224" s="692"/>
      <c r="B224" s="692"/>
      <c r="D224" s="692"/>
      <c r="E224" s="692"/>
      <c r="F224" s="692"/>
      <c r="G224" s="709"/>
    </row>
    <row r="225" spans="1:7" x14ac:dyDescent="0.25">
      <c r="A225" s="692"/>
      <c r="B225" s="692"/>
      <c r="D225" s="692"/>
      <c r="E225" s="692"/>
      <c r="F225" s="692"/>
      <c r="G225" s="709"/>
    </row>
    <row r="226" spans="1:7" x14ac:dyDescent="0.25">
      <c r="A226" s="692"/>
      <c r="B226" s="692"/>
      <c r="D226" s="692"/>
      <c r="E226" s="692"/>
      <c r="F226" s="692"/>
      <c r="G226" s="709"/>
    </row>
    <row r="227" spans="1:7" s="692" customFormat="1" x14ac:dyDescent="0.25">
      <c r="C227" s="22"/>
      <c r="G227" s="709"/>
    </row>
    <row r="228" spans="1:7" x14ac:dyDescent="0.25">
      <c r="A228" s="692"/>
      <c r="B228" s="692"/>
      <c r="D228" s="692"/>
      <c r="E228" s="692"/>
      <c r="F228" s="692"/>
      <c r="G228" s="709"/>
    </row>
    <row r="229" spans="1:7" x14ac:dyDescent="0.25">
      <c r="A229" s="692"/>
      <c r="B229" s="692"/>
      <c r="D229" s="692"/>
      <c r="E229" s="692"/>
      <c r="F229" s="692"/>
      <c r="G229" s="709"/>
    </row>
    <row r="230" spans="1:7" x14ac:dyDescent="0.25">
      <c r="A230" s="692"/>
      <c r="B230" s="692"/>
      <c r="D230" s="692"/>
      <c r="E230" s="692"/>
      <c r="F230" s="692"/>
      <c r="G230" s="709"/>
    </row>
    <row r="231" spans="1:7" x14ac:dyDescent="0.25">
      <c r="A231" s="692"/>
      <c r="B231" s="692"/>
      <c r="D231" s="692"/>
      <c r="E231" s="692"/>
      <c r="F231" s="692"/>
      <c r="G231" s="709"/>
    </row>
    <row r="232" spans="1:7" s="692" customFormat="1" x14ac:dyDescent="0.25">
      <c r="C232" s="22"/>
      <c r="G232" s="709"/>
    </row>
    <row r="233" spans="1:7" x14ac:dyDescent="0.25">
      <c r="A233" s="692"/>
      <c r="B233" s="692"/>
      <c r="D233" s="692"/>
      <c r="E233" s="692"/>
      <c r="F233" s="692"/>
      <c r="G233" s="709"/>
    </row>
    <row r="234" spans="1:7" x14ac:dyDescent="0.25">
      <c r="A234" s="692"/>
      <c r="B234" s="692"/>
      <c r="D234" s="692"/>
      <c r="E234" s="692"/>
      <c r="F234" s="692"/>
      <c r="G234" s="709"/>
    </row>
    <row r="235" spans="1:7" x14ac:dyDescent="0.25">
      <c r="A235" s="692"/>
      <c r="B235" s="692"/>
      <c r="D235" s="692"/>
      <c r="E235" s="692"/>
      <c r="F235" s="692"/>
      <c r="G235" s="709"/>
    </row>
    <row r="236" spans="1:7" s="692" customFormat="1" x14ac:dyDescent="0.25">
      <c r="C236" s="22"/>
      <c r="G236" s="709"/>
    </row>
    <row r="237" spans="1:7" s="692" customFormat="1" x14ac:dyDescent="0.25">
      <c r="C237" s="22"/>
      <c r="G237" s="709"/>
    </row>
    <row r="238" spans="1:7" s="692" customFormat="1" x14ac:dyDescent="0.25">
      <c r="C238" s="22"/>
      <c r="G238" s="709"/>
    </row>
    <row r="239" spans="1:7" x14ac:dyDescent="0.25">
      <c r="A239" s="692"/>
      <c r="B239" s="692"/>
      <c r="D239" s="692"/>
      <c r="E239" s="692"/>
      <c r="F239" s="692"/>
      <c r="G239" s="709"/>
    </row>
    <row r="240" spans="1:7" x14ac:dyDescent="0.25">
      <c r="A240" s="692"/>
      <c r="B240" s="692"/>
      <c r="D240" s="692"/>
      <c r="E240" s="692"/>
      <c r="F240" s="692"/>
      <c r="G240" s="709"/>
    </row>
    <row r="241" spans="7:7" x14ac:dyDescent="0.25">
      <c r="G241" s="709"/>
    </row>
    <row r="242" spans="7:7" x14ac:dyDescent="0.25">
      <c r="G242" s="709"/>
    </row>
    <row r="243" spans="7:7" x14ac:dyDescent="0.25">
      <c r="G243" s="709"/>
    </row>
    <row r="244" spans="7:7" x14ac:dyDescent="0.25">
      <c r="G244" s="709"/>
    </row>
    <row r="245" spans="7:7" x14ac:dyDescent="0.25">
      <c r="G245" s="709"/>
    </row>
    <row r="246" spans="7:7" x14ac:dyDescent="0.25">
      <c r="G246" s="709"/>
    </row>
    <row r="247" spans="7:7" x14ac:dyDescent="0.25">
      <c r="G247" s="709"/>
    </row>
    <row r="248" spans="7:7" x14ac:dyDescent="0.25">
      <c r="G248" s="709"/>
    </row>
    <row r="249" spans="7:7" x14ac:dyDescent="0.25">
      <c r="G249" s="709"/>
    </row>
    <row r="250" spans="7:7" x14ac:dyDescent="0.25">
      <c r="G250" s="709"/>
    </row>
    <row r="251" spans="7:7" x14ac:dyDescent="0.25">
      <c r="G251" s="709"/>
    </row>
    <row r="252" spans="7:7" x14ac:dyDescent="0.25">
      <c r="G252" s="709"/>
    </row>
    <row r="253" spans="7:7" x14ac:dyDescent="0.25">
      <c r="G253" s="709"/>
    </row>
    <row r="254" spans="7:7" x14ac:dyDescent="0.25">
      <c r="G254" s="709"/>
    </row>
    <row r="255" spans="7:7" x14ac:dyDescent="0.25">
      <c r="G255" s="709"/>
    </row>
    <row r="256" spans="7:7" x14ac:dyDescent="0.25">
      <c r="G256" s="709"/>
    </row>
    <row r="257" spans="7:11" x14ac:dyDescent="0.25">
      <c r="G257" s="709"/>
      <c r="H257" s="692"/>
      <c r="I257" s="692"/>
      <c r="J257" s="692"/>
      <c r="K257" s="692"/>
    </row>
    <row r="258" spans="7:11" x14ac:dyDescent="0.25">
      <c r="G258" s="709"/>
      <c r="H258" s="692"/>
      <c r="I258" s="692"/>
      <c r="J258" s="692"/>
      <c r="K258" s="692"/>
    </row>
    <row r="259" spans="7:11" x14ac:dyDescent="0.25">
      <c r="G259" s="709"/>
      <c r="H259" s="692"/>
      <c r="I259" s="692"/>
      <c r="J259" s="692"/>
      <c r="K259" s="692"/>
    </row>
    <row r="260" spans="7:11" x14ac:dyDescent="0.25">
      <c r="G260" s="709"/>
      <c r="H260" s="692"/>
      <c r="I260" s="692"/>
      <c r="J260" s="692"/>
      <c r="K260" s="692"/>
    </row>
    <row r="261" spans="7:11" x14ac:dyDescent="0.25">
      <c r="G261" s="709"/>
      <c r="H261" s="692"/>
      <c r="I261" s="692"/>
      <c r="J261" s="692"/>
      <c r="K261" s="692"/>
    </row>
    <row r="262" spans="7:11" x14ac:dyDescent="0.25">
      <c r="G262" s="709"/>
      <c r="H262" s="692"/>
      <c r="I262" s="692"/>
      <c r="J262" s="692"/>
      <c r="K262" s="692"/>
    </row>
    <row r="263" spans="7:11" x14ac:dyDescent="0.25">
      <c r="G263" s="709"/>
      <c r="H263" s="692"/>
      <c r="I263" s="692"/>
      <c r="J263" s="692"/>
      <c r="K263" s="692"/>
    </row>
    <row r="264" spans="7:11" x14ac:dyDescent="0.25">
      <c r="G264" s="709"/>
      <c r="H264" s="692"/>
      <c r="I264" s="692"/>
      <c r="J264" s="692"/>
      <c r="K264" s="692"/>
    </row>
    <row r="265" spans="7:11" x14ac:dyDescent="0.25">
      <c r="G265" s="709"/>
      <c r="H265" s="692"/>
      <c r="I265" s="692"/>
      <c r="J265" s="692"/>
      <c r="K265" s="692"/>
    </row>
    <row r="266" spans="7:11" x14ac:dyDescent="0.25">
      <c r="G266" s="709"/>
      <c r="H266" s="692"/>
      <c r="I266" s="692"/>
      <c r="J266" s="692"/>
      <c r="K266" s="692"/>
    </row>
    <row r="267" spans="7:11" x14ac:dyDescent="0.25">
      <c r="G267" s="709"/>
      <c r="H267" s="692"/>
      <c r="I267" s="692"/>
      <c r="J267" s="692"/>
      <c r="K267" s="692"/>
    </row>
    <row r="268" spans="7:11" x14ac:dyDescent="0.25">
      <c r="G268" s="709"/>
      <c r="H268" s="692"/>
      <c r="I268" s="692"/>
      <c r="J268" s="692"/>
      <c r="K268" s="692"/>
    </row>
    <row r="269" spans="7:11" x14ac:dyDescent="0.25">
      <c r="G269" s="709"/>
      <c r="H269" s="692"/>
      <c r="I269" s="692"/>
      <c r="J269" s="692"/>
      <c r="K269" s="692"/>
    </row>
    <row r="270" spans="7:11" x14ac:dyDescent="0.25">
      <c r="G270" s="709"/>
      <c r="H270" s="692"/>
      <c r="I270" s="692"/>
      <c r="J270" s="692"/>
      <c r="K270" s="692"/>
    </row>
    <row r="271" spans="7:11" x14ac:dyDescent="0.25">
      <c r="G271" s="709"/>
      <c r="H271" s="692"/>
      <c r="I271" s="692"/>
      <c r="J271" s="692"/>
      <c r="K271" s="692"/>
    </row>
    <row r="272" spans="7:11" x14ac:dyDescent="0.25">
      <c r="G272" s="709"/>
      <c r="H272" s="692"/>
      <c r="I272" s="692"/>
      <c r="J272" s="692"/>
      <c r="K272" s="692"/>
    </row>
    <row r="273" spans="1:11" x14ac:dyDescent="0.25">
      <c r="A273" s="692"/>
      <c r="B273" s="692"/>
      <c r="D273" s="692"/>
      <c r="E273" s="692"/>
      <c r="F273" s="692"/>
      <c r="G273" s="709"/>
      <c r="H273" s="692"/>
      <c r="I273" s="692"/>
      <c r="J273" s="692"/>
      <c r="K273" s="692"/>
    </row>
    <row r="274" spans="1:11" x14ac:dyDescent="0.25">
      <c r="A274" s="692"/>
      <c r="B274" s="692"/>
      <c r="D274" s="692"/>
      <c r="E274" s="692"/>
      <c r="F274" s="692"/>
      <c r="G274" s="709"/>
      <c r="H274" s="692"/>
      <c r="I274" s="692"/>
      <c r="J274" s="692"/>
      <c r="K274" s="692"/>
    </row>
    <row r="275" spans="1:11" x14ac:dyDescent="0.25">
      <c r="A275" s="692"/>
      <c r="B275" s="692"/>
      <c r="D275" s="692"/>
      <c r="E275" s="692"/>
      <c r="F275" s="692"/>
      <c r="G275" s="709"/>
      <c r="H275" s="692"/>
      <c r="I275" s="692"/>
      <c r="J275" s="692"/>
      <c r="K275" s="692"/>
    </row>
    <row r="276" spans="1:11" x14ac:dyDescent="0.25">
      <c r="A276" s="692"/>
      <c r="B276" s="692"/>
      <c r="D276" s="692"/>
      <c r="E276" s="692"/>
      <c r="F276" s="692"/>
      <c r="G276" s="709"/>
      <c r="H276" s="692"/>
      <c r="I276" s="692"/>
      <c r="J276" s="692"/>
      <c r="K276" s="692"/>
    </row>
    <row r="277" spans="1:11" x14ac:dyDescent="0.25">
      <c r="A277" s="692"/>
      <c r="B277" s="692"/>
      <c r="D277" s="692"/>
      <c r="E277" s="692"/>
      <c r="F277" s="692"/>
      <c r="G277" s="709"/>
      <c r="H277" s="692"/>
      <c r="I277" s="692"/>
      <c r="J277" s="692"/>
      <c r="K277" s="692"/>
    </row>
    <row r="278" spans="1:11" x14ac:dyDescent="0.25">
      <c r="A278" s="692"/>
      <c r="B278" s="692"/>
      <c r="D278" s="692"/>
      <c r="E278" s="692"/>
      <c r="F278" s="692"/>
      <c r="G278" s="709"/>
      <c r="H278" s="692"/>
      <c r="I278" s="692"/>
      <c r="J278" s="692"/>
      <c r="K278" s="692"/>
    </row>
    <row r="279" spans="1:11" x14ac:dyDescent="0.25">
      <c r="A279" s="692"/>
      <c r="B279" s="692"/>
      <c r="D279" s="692"/>
      <c r="E279" s="692"/>
      <c r="F279" s="692"/>
      <c r="G279" s="709"/>
      <c r="H279" s="692"/>
      <c r="I279" s="692"/>
      <c r="J279" s="692"/>
      <c r="K279" s="692"/>
    </row>
    <row r="280" spans="1:11" x14ac:dyDescent="0.25">
      <c r="A280" s="692"/>
      <c r="B280" s="692"/>
      <c r="D280" s="692"/>
      <c r="E280" s="692"/>
      <c r="F280" s="692"/>
      <c r="G280" s="709"/>
      <c r="H280" s="692"/>
      <c r="I280" s="692"/>
      <c r="J280" s="692"/>
      <c r="K280" s="692"/>
    </row>
    <row r="281" spans="1:11" x14ac:dyDescent="0.25">
      <c r="A281" s="692"/>
      <c r="B281" s="692"/>
      <c r="D281" s="692"/>
      <c r="E281" s="692"/>
      <c r="F281" s="692"/>
      <c r="G281" s="709"/>
      <c r="H281" s="692"/>
      <c r="I281" s="692"/>
      <c r="J281" s="692"/>
      <c r="K281" s="692"/>
    </row>
    <row r="282" spans="1:11" x14ac:dyDescent="0.25">
      <c r="A282" s="692"/>
      <c r="B282" s="692"/>
      <c r="D282" s="692"/>
      <c r="E282" s="692"/>
      <c r="F282" s="692"/>
      <c r="G282" s="709"/>
      <c r="H282" s="692"/>
      <c r="I282" s="692"/>
      <c r="J282" s="692"/>
      <c r="K282" s="692"/>
    </row>
    <row r="283" spans="1:11" x14ac:dyDescent="0.25">
      <c r="A283" s="692"/>
      <c r="B283" s="692"/>
      <c r="D283" s="692"/>
      <c r="E283" s="692"/>
      <c r="F283" s="692"/>
      <c r="G283" s="709"/>
      <c r="H283" s="692"/>
      <c r="I283" s="692"/>
      <c r="J283" s="692"/>
      <c r="K283" s="692"/>
    </row>
    <row r="284" spans="1:11" x14ac:dyDescent="0.25">
      <c r="A284" s="692"/>
      <c r="B284" s="692"/>
      <c r="D284" s="692"/>
      <c r="E284" s="692"/>
      <c r="F284" s="692"/>
      <c r="G284" s="709"/>
      <c r="H284" s="692"/>
      <c r="I284" s="692"/>
      <c r="J284" s="692"/>
      <c r="K284" s="692"/>
    </row>
    <row r="285" spans="1:11" x14ac:dyDescent="0.25">
      <c r="A285" s="692"/>
      <c r="B285" s="692"/>
      <c r="D285" s="692"/>
      <c r="E285" s="692"/>
      <c r="F285" s="692"/>
      <c r="G285" s="709"/>
      <c r="H285" s="692"/>
      <c r="I285" s="692"/>
      <c r="J285" s="692"/>
      <c r="K285" s="692"/>
    </row>
    <row r="286" spans="1:11" x14ac:dyDescent="0.25">
      <c r="A286" s="692"/>
      <c r="B286" s="692"/>
      <c r="D286" s="692"/>
      <c r="E286" s="692"/>
      <c r="F286" s="692"/>
      <c r="G286" s="709"/>
      <c r="H286" s="692"/>
      <c r="I286" s="692"/>
      <c r="J286" s="692"/>
      <c r="K286" s="692"/>
    </row>
    <row r="287" spans="1:11" x14ac:dyDescent="0.25">
      <c r="A287" s="692"/>
      <c r="B287" s="692"/>
      <c r="D287" s="692"/>
      <c r="E287" s="692"/>
      <c r="F287" s="692"/>
      <c r="G287" s="709"/>
      <c r="H287" s="692"/>
      <c r="I287" s="692"/>
      <c r="J287" s="692"/>
      <c r="K287" s="692"/>
    </row>
    <row r="288" spans="1:11" x14ac:dyDescent="0.25">
      <c r="A288" s="692"/>
      <c r="B288" s="692"/>
      <c r="D288" s="692"/>
      <c r="E288" s="692"/>
      <c r="F288" s="692"/>
      <c r="G288" s="709"/>
      <c r="H288" s="692"/>
      <c r="I288" s="692"/>
      <c r="J288" s="692"/>
      <c r="K288" s="692"/>
    </row>
    <row r="289" spans="1:11" x14ac:dyDescent="0.25">
      <c r="A289" s="692"/>
      <c r="B289" s="692"/>
      <c r="D289" s="692"/>
      <c r="E289" s="692"/>
      <c r="F289" s="692"/>
      <c r="G289" s="709"/>
      <c r="H289" s="692"/>
      <c r="I289" s="692"/>
      <c r="J289" s="692"/>
      <c r="K289" s="692"/>
    </row>
    <row r="290" spans="1:11" x14ac:dyDescent="0.25">
      <c r="A290" s="692"/>
      <c r="B290" s="692"/>
      <c r="D290" s="692"/>
      <c r="E290" s="692"/>
      <c r="F290" s="692"/>
      <c r="G290" s="709"/>
      <c r="H290" s="692"/>
      <c r="I290" s="692"/>
      <c r="J290" s="692"/>
      <c r="K290" s="692"/>
    </row>
    <row r="291" spans="1:11" x14ac:dyDescent="0.25">
      <c r="A291" s="692"/>
      <c r="B291" s="692"/>
      <c r="D291" s="692"/>
      <c r="E291" s="692"/>
      <c r="F291" s="692"/>
      <c r="G291" s="709"/>
      <c r="H291" s="692"/>
      <c r="I291" s="692"/>
      <c r="J291" s="692"/>
      <c r="K291" s="692"/>
    </row>
    <row r="292" spans="1:11" x14ac:dyDescent="0.25">
      <c r="A292" s="692"/>
      <c r="B292" s="692"/>
      <c r="D292" s="692"/>
      <c r="E292" s="692"/>
      <c r="F292" s="692"/>
      <c r="G292" s="709"/>
      <c r="H292" s="692"/>
      <c r="I292" s="692"/>
      <c r="J292" s="692"/>
      <c r="K292" s="692"/>
    </row>
    <row r="293" spans="1:11" x14ac:dyDescent="0.25">
      <c r="A293" s="692"/>
      <c r="B293" s="692"/>
      <c r="D293" s="692"/>
      <c r="E293" s="692"/>
      <c r="F293" s="692"/>
      <c r="G293" s="709"/>
      <c r="H293" s="692"/>
      <c r="I293" s="692"/>
      <c r="J293" s="692"/>
      <c r="K293" s="692"/>
    </row>
    <row r="294" spans="1:11" x14ac:dyDescent="0.25">
      <c r="A294" s="692"/>
      <c r="B294" s="692"/>
      <c r="D294" s="692"/>
      <c r="E294" s="692"/>
      <c r="F294" s="692"/>
      <c r="G294" s="709"/>
      <c r="H294" s="692"/>
      <c r="I294" s="692"/>
      <c r="J294" s="692"/>
      <c r="K294" s="692"/>
    </row>
    <row r="295" spans="1:11" x14ac:dyDescent="0.25">
      <c r="A295" s="692"/>
      <c r="B295" s="692"/>
      <c r="D295" s="692"/>
      <c r="E295" s="692"/>
      <c r="F295" s="692"/>
      <c r="G295" s="709"/>
      <c r="H295" s="692"/>
      <c r="I295" s="692"/>
      <c r="J295" s="692"/>
      <c r="K295" s="692"/>
    </row>
    <row r="296" spans="1:11" x14ac:dyDescent="0.25">
      <c r="A296" s="692"/>
      <c r="B296" s="692"/>
      <c r="D296" s="692"/>
      <c r="E296" s="692"/>
      <c r="F296" s="692"/>
      <c r="G296" s="709"/>
      <c r="H296" s="692"/>
      <c r="I296" s="692"/>
      <c r="J296" s="692"/>
      <c r="K296" s="692"/>
    </row>
    <row r="297" spans="1:11" x14ac:dyDescent="0.25">
      <c r="A297" s="692"/>
      <c r="B297" s="692"/>
      <c r="D297" s="692"/>
      <c r="E297" s="692"/>
      <c r="F297" s="692"/>
      <c r="G297" s="709"/>
      <c r="H297" s="692"/>
      <c r="I297" s="692"/>
      <c r="J297" s="692"/>
      <c r="K297" s="692"/>
    </row>
    <row r="298" spans="1:11" x14ac:dyDescent="0.25">
      <c r="A298" s="692"/>
      <c r="B298" s="692"/>
      <c r="D298" s="692"/>
      <c r="E298" s="692"/>
      <c r="F298" s="692"/>
      <c r="G298" s="709"/>
      <c r="H298" s="692"/>
      <c r="I298" s="692"/>
      <c r="J298" s="692"/>
      <c r="K298" s="692"/>
    </row>
    <row r="299" spans="1:11" x14ac:dyDescent="0.25">
      <c r="A299" s="692"/>
      <c r="B299" s="692"/>
      <c r="D299" s="692"/>
      <c r="E299" s="692"/>
      <c r="F299" s="692"/>
      <c r="G299" s="709"/>
      <c r="H299" s="692"/>
      <c r="I299" s="692"/>
      <c r="J299" s="692"/>
      <c r="K299" s="692"/>
    </row>
    <row r="300" spans="1:11" x14ac:dyDescent="0.25">
      <c r="A300" s="692"/>
      <c r="B300" s="692"/>
      <c r="D300" s="692"/>
      <c r="E300" s="692"/>
      <c r="F300" s="692"/>
      <c r="G300" s="709"/>
      <c r="H300" s="692"/>
      <c r="I300" s="692"/>
      <c r="J300" s="692"/>
      <c r="K300" s="692"/>
    </row>
    <row r="301" spans="1:11" x14ac:dyDescent="0.25">
      <c r="A301" s="692"/>
      <c r="B301" s="692"/>
      <c r="D301" s="692"/>
      <c r="E301" s="692"/>
      <c r="F301" s="692"/>
      <c r="G301" s="709"/>
      <c r="H301" s="692"/>
      <c r="I301" s="692"/>
      <c r="J301" s="692"/>
      <c r="K301" s="692"/>
    </row>
    <row r="302" spans="1:11" x14ac:dyDescent="0.25">
      <c r="A302" s="692"/>
      <c r="B302" s="692"/>
      <c r="D302" s="692"/>
      <c r="E302" s="692"/>
      <c r="F302" s="692"/>
      <c r="G302" s="709"/>
      <c r="H302" s="692"/>
      <c r="I302" s="692"/>
      <c r="J302" s="692"/>
      <c r="K302" s="692"/>
    </row>
    <row r="303" spans="1:11" x14ac:dyDescent="0.25">
      <c r="A303" s="692"/>
      <c r="B303" s="692"/>
      <c r="D303" s="692"/>
      <c r="E303" s="692"/>
      <c r="F303" s="692"/>
      <c r="G303" s="709"/>
      <c r="H303" s="692"/>
      <c r="I303" s="692"/>
      <c r="J303" s="692"/>
      <c r="K303" s="692"/>
    </row>
    <row r="304" spans="1:11" s="692" customFormat="1" x14ac:dyDescent="0.25">
      <c r="C304" s="22"/>
      <c r="G304" s="709"/>
    </row>
    <row r="305" spans="1:13" s="692" customFormat="1" x14ac:dyDescent="0.25">
      <c r="C305" s="22"/>
      <c r="G305" s="709"/>
    </row>
    <row r="306" spans="1:13" x14ac:dyDescent="0.25">
      <c r="A306" s="692"/>
      <c r="B306" s="692"/>
      <c r="D306" s="692"/>
      <c r="E306" s="692"/>
      <c r="F306" s="692"/>
      <c r="G306" s="709"/>
      <c r="H306" s="21"/>
      <c r="I306" s="21"/>
      <c r="J306" s="21"/>
      <c r="K306" s="22"/>
      <c r="L306" s="692"/>
      <c r="M306" s="692"/>
    </row>
    <row r="307" spans="1:13" x14ac:dyDescent="0.25">
      <c r="A307" s="692"/>
      <c r="B307" s="692"/>
      <c r="D307" s="692"/>
      <c r="E307" s="692"/>
      <c r="F307" s="692"/>
      <c r="G307" s="709"/>
      <c r="H307" s="110"/>
      <c r="I307" s="110"/>
      <c r="J307" s="110"/>
      <c r="K307" s="23"/>
      <c r="L307" s="692"/>
      <c r="M307" s="692"/>
    </row>
    <row r="308" spans="1:13" s="692" customFormat="1" x14ac:dyDescent="0.25">
      <c r="C308" s="22"/>
      <c r="G308" s="709"/>
      <c r="H308" s="110"/>
      <c r="I308" s="110"/>
      <c r="J308" s="110"/>
      <c r="K308" s="23"/>
    </row>
    <row r="309" spans="1:13" s="13" customFormat="1" x14ac:dyDescent="0.25">
      <c r="A309" s="692"/>
      <c r="B309" s="692"/>
      <c r="C309" s="22"/>
      <c r="D309" s="692"/>
      <c r="E309" s="692"/>
      <c r="F309" s="692"/>
      <c r="G309" s="709"/>
      <c r="H309" s="284"/>
      <c r="I309" s="709"/>
      <c r="J309" s="709"/>
      <c r="K309" s="709"/>
      <c r="L309" s="709"/>
      <c r="M309" s="709"/>
    </row>
    <row r="310" spans="1:13" s="691" customFormat="1" x14ac:dyDescent="0.25">
      <c r="A310" s="692"/>
      <c r="B310" s="692"/>
      <c r="C310" s="22"/>
      <c r="D310" s="692"/>
      <c r="E310" s="692"/>
      <c r="F310" s="692"/>
      <c r="G310" s="709"/>
      <c r="H310" s="284"/>
      <c r="I310" s="709"/>
      <c r="J310" s="709"/>
      <c r="K310" s="709"/>
      <c r="L310" s="709"/>
      <c r="M310" s="709"/>
    </row>
    <row r="311" spans="1:13" x14ac:dyDescent="0.25">
      <c r="A311" s="692"/>
      <c r="B311" s="692"/>
      <c r="D311" s="692"/>
      <c r="E311" s="692"/>
      <c r="F311" s="692"/>
      <c r="G311" s="709"/>
      <c r="H311" s="692"/>
      <c r="I311" s="692"/>
      <c r="J311" s="692"/>
      <c r="K311" s="692"/>
      <c r="L311" s="692"/>
      <c r="M311" s="692"/>
    </row>
    <row r="312" spans="1:13" x14ac:dyDescent="0.25">
      <c r="A312" s="692"/>
      <c r="B312" s="692"/>
      <c r="D312" s="692"/>
      <c r="E312" s="692"/>
      <c r="F312" s="692"/>
      <c r="G312" s="709"/>
      <c r="H312" s="692"/>
      <c r="I312" s="692"/>
      <c r="J312" s="692"/>
      <c r="K312" s="692"/>
      <c r="L312" s="692"/>
      <c r="M312" s="692"/>
    </row>
    <row r="313" spans="1:13" s="692" customFormat="1" x14ac:dyDescent="0.25">
      <c r="C313" s="22"/>
      <c r="G313" s="709"/>
    </row>
    <row r="314" spans="1:13" x14ac:dyDescent="0.25">
      <c r="A314" s="692"/>
      <c r="B314" s="692"/>
      <c r="D314" s="692"/>
      <c r="E314" s="692"/>
      <c r="F314" s="692"/>
      <c r="G314" s="709"/>
      <c r="H314" s="692"/>
      <c r="I314" s="692"/>
      <c r="J314" s="692"/>
      <c r="K314" s="692"/>
      <c r="L314" s="692"/>
      <c r="M314" s="692"/>
    </row>
    <row r="315" spans="1:13" x14ac:dyDescent="0.25">
      <c r="A315" s="692"/>
      <c r="B315" s="692"/>
      <c r="D315" s="692"/>
      <c r="E315" s="692"/>
      <c r="F315" s="692"/>
      <c r="G315" s="709"/>
      <c r="H315" s="692"/>
      <c r="I315" s="692"/>
      <c r="J315" s="692"/>
      <c r="K315" s="692"/>
      <c r="L315" s="692"/>
      <c r="M315" s="692"/>
    </row>
    <row r="316" spans="1:13" x14ac:dyDescent="0.25">
      <c r="A316" s="692"/>
      <c r="B316" s="692"/>
      <c r="D316" s="692"/>
      <c r="E316" s="692"/>
      <c r="F316" s="692"/>
      <c r="G316" s="709"/>
      <c r="H316" s="692"/>
      <c r="I316" s="692"/>
      <c r="J316" s="692"/>
      <c r="K316" s="692"/>
      <c r="L316" s="692"/>
      <c r="M316" s="692"/>
    </row>
    <row r="317" spans="1:13" x14ac:dyDescent="0.25">
      <c r="A317" s="692"/>
      <c r="B317" s="692"/>
      <c r="D317" s="692"/>
      <c r="E317" s="692"/>
      <c r="F317" s="692"/>
      <c r="G317" s="709"/>
      <c r="H317" s="692"/>
      <c r="I317" s="692"/>
      <c r="J317" s="692"/>
      <c r="K317" s="692"/>
      <c r="L317" s="692"/>
      <c r="M317" s="692"/>
    </row>
    <row r="318" spans="1:13" x14ac:dyDescent="0.25">
      <c r="A318" s="692"/>
      <c r="B318" s="692"/>
      <c r="D318" s="692"/>
      <c r="E318" s="692"/>
      <c r="F318" s="692"/>
      <c r="G318" s="709"/>
      <c r="H318" s="692"/>
      <c r="I318" s="692"/>
      <c r="J318" s="692"/>
      <c r="K318" s="692"/>
      <c r="L318" s="692"/>
      <c r="M318" s="692"/>
    </row>
    <row r="319" spans="1:13" x14ac:dyDescent="0.25">
      <c r="A319" s="692"/>
      <c r="B319" s="692"/>
      <c r="D319" s="692"/>
      <c r="E319" s="692"/>
      <c r="F319" s="692"/>
      <c r="G319" s="709"/>
      <c r="H319" s="692"/>
      <c r="I319" s="692"/>
      <c r="J319" s="692"/>
      <c r="K319" s="692"/>
      <c r="L319" s="692"/>
      <c r="M319" s="692"/>
    </row>
    <row r="320" spans="1:13" x14ac:dyDescent="0.25">
      <c r="A320" s="692"/>
      <c r="B320" s="692"/>
      <c r="D320" s="692"/>
      <c r="E320" s="692"/>
      <c r="F320" s="692"/>
      <c r="G320" s="709"/>
      <c r="H320" s="692"/>
      <c r="I320" s="692"/>
      <c r="J320" s="692"/>
      <c r="K320" s="692"/>
      <c r="L320" s="692"/>
      <c r="M320" s="692"/>
    </row>
    <row r="321" spans="1:13" x14ac:dyDescent="0.25">
      <c r="A321" s="692"/>
      <c r="B321" s="692"/>
      <c r="D321" s="692"/>
      <c r="E321" s="692"/>
      <c r="F321" s="692"/>
      <c r="G321" s="709"/>
      <c r="H321" s="692"/>
      <c r="I321" s="692"/>
      <c r="J321" s="692"/>
      <c r="K321" s="692"/>
      <c r="L321" s="692"/>
      <c r="M321" s="692"/>
    </row>
    <row r="322" spans="1:13" s="692" customFormat="1" x14ac:dyDescent="0.25">
      <c r="C322" s="22"/>
      <c r="G322" s="709"/>
    </row>
    <row r="323" spans="1:13" x14ac:dyDescent="0.25">
      <c r="A323" s="692"/>
      <c r="B323" s="692"/>
      <c r="D323" s="692"/>
      <c r="E323" s="692"/>
      <c r="F323" s="692"/>
      <c r="G323" s="709"/>
      <c r="H323" s="692"/>
      <c r="I323" s="692"/>
      <c r="J323" s="692"/>
      <c r="K323" s="692"/>
      <c r="L323" s="692"/>
      <c r="M323" s="692"/>
    </row>
    <row r="324" spans="1:13" x14ac:dyDescent="0.25">
      <c r="A324" s="692"/>
      <c r="B324" s="692"/>
      <c r="D324" s="692"/>
      <c r="E324" s="692"/>
      <c r="F324" s="692"/>
      <c r="G324" s="709"/>
      <c r="H324" s="692"/>
      <c r="I324" s="692"/>
      <c r="J324" s="692"/>
      <c r="K324" s="692"/>
      <c r="L324" s="692"/>
      <c r="M324" s="692"/>
    </row>
    <row r="325" spans="1:13" x14ac:dyDescent="0.25">
      <c r="A325" s="692"/>
      <c r="B325" s="692"/>
      <c r="D325" s="692"/>
      <c r="E325" s="692"/>
      <c r="F325" s="692"/>
      <c r="G325" s="709"/>
      <c r="H325" s="692"/>
      <c r="I325" s="692"/>
      <c r="J325" s="692"/>
      <c r="K325" s="692"/>
      <c r="L325" s="692"/>
      <c r="M325" s="692"/>
    </row>
    <row r="326" spans="1:13" x14ac:dyDescent="0.25">
      <c r="A326" s="692"/>
      <c r="B326" s="692"/>
      <c r="D326" s="692"/>
      <c r="E326" s="692"/>
      <c r="F326" s="692"/>
      <c r="G326" s="692"/>
      <c r="H326" s="692"/>
      <c r="I326" s="692"/>
      <c r="J326" s="692"/>
      <c r="K326" s="692"/>
      <c r="L326" s="692"/>
      <c r="M326" s="692"/>
    </row>
    <row r="327" spans="1:13" s="692" customFormat="1" x14ac:dyDescent="0.25">
      <c r="C327" s="22"/>
    </row>
    <row r="328" spans="1:13" x14ac:dyDescent="0.25">
      <c r="A328" s="692"/>
      <c r="B328" s="692"/>
      <c r="D328" s="692"/>
      <c r="E328" s="692"/>
      <c r="F328" s="692"/>
      <c r="G328" s="692"/>
      <c r="H328" s="692"/>
      <c r="I328" s="692"/>
      <c r="J328" s="692"/>
      <c r="K328" s="692"/>
      <c r="L328" s="692"/>
      <c r="M328" s="692"/>
    </row>
    <row r="329" spans="1:13" x14ac:dyDescent="0.25">
      <c r="A329" s="692"/>
      <c r="B329" s="692"/>
      <c r="D329" s="692"/>
      <c r="E329" s="692"/>
      <c r="F329" s="692"/>
      <c r="G329" s="692"/>
      <c r="H329" s="692"/>
      <c r="I329" s="692"/>
      <c r="J329" s="692"/>
      <c r="K329" s="692"/>
      <c r="L329" s="692"/>
      <c r="M329" s="692"/>
    </row>
    <row r="330" spans="1:13" x14ac:dyDescent="0.25">
      <c r="A330" s="692"/>
      <c r="B330" s="692"/>
      <c r="D330" s="692"/>
      <c r="E330" s="692"/>
      <c r="F330" s="692"/>
      <c r="G330" s="709"/>
      <c r="H330" s="692"/>
      <c r="I330" s="692"/>
      <c r="J330" s="692"/>
      <c r="K330" s="692"/>
      <c r="L330" s="692"/>
      <c r="M330" s="692"/>
    </row>
    <row r="331" spans="1:13" x14ac:dyDescent="0.25">
      <c r="A331" s="692"/>
      <c r="B331" s="692"/>
      <c r="D331" s="692"/>
      <c r="E331" s="692"/>
      <c r="F331" s="692"/>
      <c r="G331" s="709"/>
      <c r="H331" s="692"/>
      <c r="I331" s="692"/>
      <c r="J331" s="692"/>
      <c r="K331" s="692"/>
      <c r="L331" s="692"/>
      <c r="M331" s="692"/>
    </row>
    <row r="332" spans="1:13" x14ac:dyDescent="0.25">
      <c r="A332" s="692"/>
      <c r="B332" s="692"/>
      <c r="D332" s="692"/>
      <c r="E332" s="692"/>
      <c r="F332" s="692"/>
      <c r="G332" s="692"/>
      <c r="H332" s="692"/>
      <c r="I332" s="692"/>
      <c r="J332" s="692"/>
      <c r="K332" s="692"/>
      <c r="L332" s="692"/>
      <c r="M332" s="692"/>
    </row>
    <row r="333" spans="1:13" x14ac:dyDescent="0.25">
      <c r="A333" s="692"/>
      <c r="B333" s="692"/>
      <c r="D333" s="692"/>
      <c r="E333" s="692"/>
      <c r="F333" s="692"/>
      <c r="G333" s="692"/>
      <c r="H333" s="692"/>
      <c r="I333" s="692"/>
      <c r="J333" s="692"/>
      <c r="K333" s="692"/>
      <c r="L333" s="692"/>
      <c r="M333" s="692"/>
    </row>
    <row r="334" spans="1:13" x14ac:dyDescent="0.25">
      <c r="A334" s="692"/>
      <c r="B334" s="692"/>
      <c r="D334" s="692"/>
      <c r="E334" s="692"/>
      <c r="F334" s="692"/>
      <c r="G334" s="692"/>
      <c r="H334" s="692"/>
      <c r="I334" s="692"/>
      <c r="J334" s="692"/>
      <c r="K334" s="692"/>
      <c r="L334" s="692"/>
      <c r="M334" s="692"/>
    </row>
    <row r="335" spans="1:13" x14ac:dyDescent="0.25">
      <c r="A335" s="692"/>
      <c r="B335" s="692"/>
      <c r="D335" s="692"/>
      <c r="E335" s="692"/>
      <c r="F335" s="692"/>
      <c r="G335" s="692"/>
      <c r="H335" s="692"/>
      <c r="I335" s="692"/>
      <c r="J335" s="692"/>
      <c r="K335" s="692"/>
      <c r="L335" s="692"/>
      <c r="M335" s="692"/>
    </row>
    <row r="336" spans="1:13" x14ac:dyDescent="0.25">
      <c r="A336" s="692"/>
      <c r="B336" s="692"/>
      <c r="D336" s="692"/>
      <c r="E336" s="692"/>
      <c r="F336" s="692"/>
      <c r="G336" s="692"/>
      <c r="H336" s="692"/>
      <c r="I336" s="692"/>
      <c r="J336" s="692"/>
      <c r="K336" s="692"/>
      <c r="L336" s="692"/>
      <c r="M336" s="692"/>
    </row>
    <row r="337" spans="1:13" x14ac:dyDescent="0.25">
      <c r="A337" s="692"/>
      <c r="B337" s="692"/>
      <c r="D337" s="692"/>
      <c r="E337" s="692"/>
      <c r="F337" s="692"/>
      <c r="G337" s="692"/>
      <c r="H337" s="692"/>
      <c r="I337" s="692"/>
      <c r="J337" s="692"/>
      <c r="K337" s="692"/>
      <c r="L337" s="692"/>
      <c r="M337" s="692"/>
    </row>
    <row r="338" spans="1:13" x14ac:dyDescent="0.25">
      <c r="A338" s="692"/>
      <c r="B338" s="692"/>
      <c r="D338" s="692"/>
      <c r="E338" s="692"/>
      <c r="F338" s="692"/>
      <c r="G338" s="692"/>
      <c r="H338" s="692"/>
      <c r="I338" s="692"/>
      <c r="J338" s="692"/>
      <c r="K338" s="692"/>
      <c r="L338" s="692"/>
      <c r="M338" s="692"/>
    </row>
    <row r="339" spans="1:13" x14ac:dyDescent="0.25">
      <c r="A339" s="692"/>
      <c r="B339" s="692"/>
      <c r="D339" s="692"/>
      <c r="E339" s="692"/>
      <c r="F339" s="692"/>
      <c r="G339" s="692"/>
      <c r="H339" s="692"/>
      <c r="I339" s="692"/>
      <c r="J339" s="692"/>
      <c r="K339" s="692"/>
      <c r="L339" s="692"/>
      <c r="M339" s="692"/>
    </row>
    <row r="340" spans="1:13" x14ac:dyDescent="0.25">
      <c r="A340" s="692"/>
      <c r="B340" s="692"/>
      <c r="D340" s="692"/>
      <c r="E340" s="692"/>
      <c r="F340" s="692"/>
      <c r="G340" s="692"/>
      <c r="H340" s="692"/>
      <c r="I340" s="692"/>
      <c r="J340" s="692"/>
      <c r="K340" s="692"/>
      <c r="L340" s="692"/>
      <c r="M340" s="692"/>
    </row>
    <row r="341" spans="1:13" x14ac:dyDescent="0.25">
      <c r="A341" s="692"/>
      <c r="B341" s="692"/>
      <c r="D341" s="692"/>
      <c r="E341" s="692"/>
      <c r="F341" s="692"/>
      <c r="G341" s="692"/>
      <c r="H341" s="709"/>
      <c r="I341" s="709"/>
      <c r="J341" s="709"/>
      <c r="K341" s="709"/>
      <c r="L341" s="709"/>
      <c r="M341" s="709"/>
    </row>
    <row r="342" spans="1:13" x14ac:dyDescent="0.25">
      <c r="A342" s="692"/>
      <c r="B342" s="692"/>
      <c r="D342" s="692"/>
      <c r="E342" s="692"/>
      <c r="F342" s="692"/>
      <c r="G342" s="692"/>
      <c r="H342" s="692"/>
      <c r="I342" s="692"/>
      <c r="J342" s="692"/>
      <c r="K342" s="692"/>
      <c r="L342" s="692"/>
      <c r="M342" s="692"/>
    </row>
    <row r="343" spans="1:13" x14ac:dyDescent="0.25">
      <c r="A343" s="692"/>
      <c r="B343" s="692"/>
      <c r="D343" s="692"/>
      <c r="E343" s="692"/>
      <c r="F343" s="692"/>
      <c r="G343" s="692"/>
      <c r="H343" s="692"/>
      <c r="I343" s="692"/>
      <c r="J343" s="692"/>
      <c r="K343" s="692"/>
      <c r="L343" s="692"/>
      <c r="M343" s="692"/>
    </row>
    <row r="344" spans="1:13" x14ac:dyDescent="0.25">
      <c r="A344" s="692"/>
      <c r="B344" s="692"/>
      <c r="D344" s="692"/>
      <c r="E344" s="692"/>
      <c r="F344" s="692"/>
      <c r="G344" s="692"/>
      <c r="H344" s="692"/>
      <c r="I344" s="692"/>
      <c r="J344" s="692"/>
      <c r="K344" s="692"/>
      <c r="L344" s="692"/>
      <c r="M344" s="692"/>
    </row>
    <row r="345" spans="1:13" x14ac:dyDescent="0.25">
      <c r="A345" s="692"/>
      <c r="B345" s="692"/>
      <c r="D345" s="692"/>
      <c r="E345" s="692"/>
      <c r="F345" s="692"/>
      <c r="G345" s="692"/>
      <c r="H345" s="692"/>
      <c r="I345" s="692"/>
      <c r="J345" s="692"/>
      <c r="K345" s="692"/>
      <c r="L345" s="692"/>
      <c r="M345" s="692"/>
    </row>
    <row r="346" spans="1:13" s="13" customFormat="1" x14ac:dyDescent="0.25">
      <c r="A346" s="692"/>
      <c r="B346" s="692"/>
      <c r="C346" s="22"/>
      <c r="D346" s="692"/>
      <c r="E346" s="692"/>
      <c r="F346" s="692"/>
      <c r="G346" s="692"/>
      <c r="H346" s="709"/>
      <c r="I346" s="709"/>
      <c r="J346" s="709"/>
      <c r="K346" s="709"/>
      <c r="L346" s="709"/>
      <c r="M346" s="709"/>
    </row>
    <row r="347" spans="1:13" s="13" customFormat="1" x14ac:dyDescent="0.25">
      <c r="A347" s="692"/>
      <c r="B347" s="692"/>
      <c r="C347" s="22"/>
      <c r="D347" s="692"/>
      <c r="E347" s="692"/>
      <c r="F347" s="692"/>
      <c r="G347" s="692"/>
      <c r="H347" s="709"/>
      <c r="I347" s="709"/>
      <c r="J347" s="709"/>
      <c r="K347" s="709"/>
      <c r="L347" s="709"/>
      <c r="M347" s="709"/>
    </row>
    <row r="348" spans="1:13" x14ac:dyDescent="0.25">
      <c r="A348" s="692"/>
      <c r="B348" s="692"/>
      <c r="D348" s="692"/>
      <c r="E348" s="692"/>
      <c r="F348" s="692"/>
      <c r="G348" s="692"/>
      <c r="H348" s="692"/>
      <c r="I348" s="692"/>
      <c r="J348" s="692"/>
      <c r="K348" s="692"/>
      <c r="L348" s="692"/>
      <c r="M348" s="692"/>
    </row>
    <row r="349" spans="1:13" x14ac:dyDescent="0.25">
      <c r="A349" s="692"/>
      <c r="B349" s="692"/>
      <c r="D349" s="692"/>
      <c r="E349" s="692"/>
      <c r="F349" s="692"/>
      <c r="G349" s="692"/>
      <c r="H349" s="692"/>
      <c r="I349" s="692"/>
      <c r="J349" s="692"/>
      <c r="K349" s="692"/>
      <c r="L349" s="692"/>
      <c r="M349" s="692"/>
    </row>
    <row r="350" spans="1:13" x14ac:dyDescent="0.25">
      <c r="A350" s="692"/>
      <c r="B350" s="692"/>
      <c r="D350" s="692"/>
      <c r="E350" s="692"/>
      <c r="F350" s="692"/>
      <c r="G350" s="692"/>
      <c r="H350" s="692"/>
      <c r="I350" s="692"/>
      <c r="J350" s="692"/>
      <c r="K350" s="692"/>
      <c r="L350" s="692"/>
      <c r="M350" s="692"/>
    </row>
    <row r="351" spans="1:13" x14ac:dyDescent="0.25">
      <c r="A351" s="692"/>
      <c r="B351" s="692"/>
      <c r="D351" s="692"/>
      <c r="E351" s="692"/>
      <c r="F351" s="692"/>
      <c r="G351" s="692"/>
      <c r="H351" s="692"/>
      <c r="I351" s="692"/>
      <c r="J351" s="692"/>
      <c r="K351" s="692"/>
      <c r="L351" s="692"/>
      <c r="M351" s="692"/>
    </row>
    <row r="352" spans="1:13" x14ac:dyDescent="0.25">
      <c r="A352" s="692"/>
      <c r="B352" s="692"/>
      <c r="D352" s="692"/>
      <c r="E352" s="692"/>
      <c r="F352" s="692"/>
      <c r="G352" s="692"/>
      <c r="H352" s="692"/>
      <c r="I352" s="692"/>
      <c r="J352" s="692"/>
      <c r="K352" s="692"/>
      <c r="L352" s="692"/>
      <c r="M352" s="692"/>
    </row>
    <row r="353" spans="7:7" x14ac:dyDescent="0.25">
      <c r="G353" s="692"/>
    </row>
    <row r="354" spans="7:7" x14ac:dyDescent="0.25">
      <c r="G354" s="692"/>
    </row>
    <row r="355" spans="7:7" x14ac:dyDescent="0.25">
      <c r="G355" s="692"/>
    </row>
    <row r="356" spans="7:7" x14ac:dyDescent="0.25">
      <c r="G356" s="692"/>
    </row>
    <row r="357" spans="7:7" x14ac:dyDescent="0.25">
      <c r="G357" s="692"/>
    </row>
    <row r="358" spans="7:7" x14ac:dyDescent="0.25">
      <c r="G358" s="692"/>
    </row>
    <row r="359" spans="7:7" x14ac:dyDescent="0.25">
      <c r="G359" s="692"/>
    </row>
    <row r="360" spans="7:7" x14ac:dyDescent="0.25">
      <c r="G360" s="285"/>
    </row>
    <row r="409" spans="7:7" x14ac:dyDescent="0.25">
      <c r="G409" s="692"/>
    </row>
    <row r="410" spans="7:7" x14ac:dyDescent="0.25">
      <c r="G410" s="692"/>
    </row>
    <row r="411" spans="7:7" x14ac:dyDescent="0.25">
      <c r="G411" s="692"/>
    </row>
    <row r="412" spans="7:7" x14ac:dyDescent="0.25">
      <c r="G412" s="692"/>
    </row>
    <row r="413" spans="7:7" x14ac:dyDescent="0.25">
      <c r="G413" s="692"/>
    </row>
    <row r="414" spans="7:7" x14ac:dyDescent="0.25">
      <c r="G414" s="692"/>
    </row>
    <row r="415" spans="7:7" x14ac:dyDescent="0.25">
      <c r="G415" s="692"/>
    </row>
    <row r="416" spans="7:7" x14ac:dyDescent="0.25">
      <c r="G416" s="692"/>
    </row>
    <row r="417" spans="7:7" x14ac:dyDescent="0.25">
      <c r="G417" s="692"/>
    </row>
    <row r="418" spans="7:7" x14ac:dyDescent="0.25">
      <c r="G418" s="692"/>
    </row>
    <row r="419" spans="7:7" x14ac:dyDescent="0.25">
      <c r="G419" s="692"/>
    </row>
    <row r="420" spans="7:7" x14ac:dyDescent="0.25">
      <c r="G420" s="692"/>
    </row>
    <row r="421" spans="7:7" x14ac:dyDescent="0.25">
      <c r="G421" s="692"/>
    </row>
    <row r="422" spans="7:7" x14ac:dyDescent="0.25">
      <c r="G422" s="709"/>
    </row>
    <row r="423" spans="7:7" ht="26.25" x14ac:dyDescent="0.4">
      <c r="G423" s="269"/>
    </row>
    <row r="424" spans="7:7" x14ac:dyDescent="0.25">
      <c r="G424" s="709"/>
    </row>
    <row r="425" spans="7:7" x14ac:dyDescent="0.25">
      <c r="G425" s="709"/>
    </row>
    <row r="426" spans="7:7" x14ac:dyDescent="0.25">
      <c r="G426" s="709"/>
    </row>
    <row r="427" spans="7:7" x14ac:dyDescent="0.25">
      <c r="G427" s="692"/>
    </row>
    <row r="428" spans="7:7" x14ac:dyDescent="0.25">
      <c r="G428" s="692"/>
    </row>
    <row r="429" spans="7:7" x14ac:dyDescent="0.25">
      <c r="G429" s="692"/>
    </row>
    <row r="430" spans="7:7" x14ac:dyDescent="0.25">
      <c r="G430" s="692"/>
    </row>
    <row r="431" spans="7:7" x14ac:dyDescent="0.25">
      <c r="G431" s="692"/>
    </row>
    <row r="432" spans="7:7" x14ac:dyDescent="0.25">
      <c r="G432" s="692"/>
    </row>
    <row r="433" spans="7:7" x14ac:dyDescent="0.25">
      <c r="G433" s="692"/>
    </row>
    <row r="434" spans="7:7" x14ac:dyDescent="0.25">
      <c r="G434" s="692"/>
    </row>
    <row r="435" spans="7:7" x14ac:dyDescent="0.25">
      <c r="G435" s="692"/>
    </row>
    <row r="436" spans="7:7" x14ac:dyDescent="0.25">
      <c r="G436" s="692"/>
    </row>
    <row r="437" spans="7:7" x14ac:dyDescent="0.25">
      <c r="G437" s="692"/>
    </row>
    <row r="438" spans="7:7" x14ac:dyDescent="0.25">
      <c r="G438" s="692"/>
    </row>
    <row r="439" spans="7:7" x14ac:dyDescent="0.25">
      <c r="G439" s="692"/>
    </row>
    <row r="440" spans="7:7" x14ac:dyDescent="0.25">
      <c r="G440" s="692"/>
    </row>
  </sheetData>
  <printOptions headings="1"/>
  <pageMargins left="0.70866141732283472" right="0.70866141732283472" top="0.74803149606299213" bottom="0.74803149606299213" header="0.31496062992125984" footer="0.31496062992125984"/>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K261"/>
  <sheetViews>
    <sheetView showGridLines="0" topLeftCell="A54" workbookViewId="0">
      <selection activeCell="A58" sqref="A58:G66"/>
    </sheetView>
  </sheetViews>
  <sheetFormatPr defaultColWidth="9.140625" defaultRowHeight="15" x14ac:dyDescent="0.25"/>
  <cols>
    <col min="1" max="1" width="37.85546875" customWidth="1"/>
    <col min="2" max="2" width="47.140625" customWidth="1"/>
    <col min="3" max="3" width="14.7109375" style="22" customWidth="1"/>
    <col min="4" max="4" width="13.7109375" customWidth="1"/>
    <col min="5" max="5" width="13.28515625" customWidth="1"/>
    <col min="6" max="6" width="52.28515625" customWidth="1"/>
    <col min="7" max="7" width="50.7109375" customWidth="1"/>
    <col min="8" max="8" width="25.85546875" customWidth="1"/>
    <col min="9" max="9" width="17.42578125" customWidth="1"/>
    <col min="10" max="10" width="20.42578125" customWidth="1"/>
    <col min="11" max="11" width="60" bestFit="1" customWidth="1"/>
  </cols>
  <sheetData>
    <row r="1" spans="1:7" s="727" customFormat="1" ht="69" customHeight="1" thickBot="1" x14ac:dyDescent="0.3">
      <c r="A1" s="731" t="s">
        <v>1309</v>
      </c>
      <c r="B1" s="471" t="s">
        <v>1310</v>
      </c>
      <c r="C1" s="523"/>
      <c r="D1" s="1"/>
      <c r="E1" s="1"/>
      <c r="F1" s="1"/>
      <c r="G1" s="728"/>
    </row>
    <row r="2" spans="1:7" s="727" customFormat="1" ht="18.600000000000001" customHeight="1" thickBot="1" x14ac:dyDescent="0.3">
      <c r="A2" s="18" t="s">
        <v>315</v>
      </c>
      <c r="B2" s="19" t="s">
        <v>229</v>
      </c>
      <c r="C2" s="500" t="s">
        <v>232</v>
      </c>
      <c r="D2" s="19" t="s">
        <v>342</v>
      </c>
      <c r="E2" s="19" t="s">
        <v>1265</v>
      </c>
      <c r="F2" s="195" t="s">
        <v>344</v>
      </c>
      <c r="G2" s="728"/>
    </row>
    <row r="3" spans="1:7" s="727" customFormat="1" ht="31.5" customHeight="1" thickBot="1" x14ac:dyDescent="0.3">
      <c r="A3" s="6" t="s">
        <v>1311</v>
      </c>
      <c r="B3" s="6" t="s">
        <v>1312</v>
      </c>
      <c r="C3" s="394" t="s">
        <v>399</v>
      </c>
      <c r="D3" s="1423" t="s">
        <v>400</v>
      </c>
      <c r="E3" s="35"/>
      <c r="F3" s="686" t="s">
        <v>1313</v>
      </c>
      <c r="G3" s="728"/>
    </row>
    <row r="4" spans="1:7" s="727" customFormat="1" ht="18.600000000000001" customHeight="1" thickBot="1" x14ac:dyDescent="0.3">
      <c r="A4" s="151" t="s">
        <v>1314</v>
      </c>
      <c r="B4" s="42" t="s">
        <v>229</v>
      </c>
      <c r="C4" s="492"/>
      <c r="D4" s="3"/>
      <c r="E4" s="3"/>
      <c r="F4" s="200"/>
      <c r="G4" s="728"/>
    </row>
    <row r="5" spans="1:7" s="727" customFormat="1" ht="18.600000000000001" customHeight="1" thickBot="1" x14ac:dyDescent="0.3">
      <c r="A5" s="38"/>
      <c r="B5" s="48"/>
      <c r="C5" s="501"/>
      <c r="D5" s="37"/>
      <c r="E5" s="37"/>
      <c r="F5" s="196"/>
      <c r="G5" s="728"/>
    </row>
    <row r="6" spans="1:7" s="727" customFormat="1" ht="18.600000000000001" customHeight="1" thickBot="1" x14ac:dyDescent="0.3">
      <c r="A6" s="681"/>
      <c r="B6" s="39" t="s">
        <v>813</v>
      </c>
      <c r="C6" s="494" t="str">
        <f>'Input Data'!E175</f>
        <v>Yes</v>
      </c>
      <c r="D6" s="681"/>
      <c r="E6" s="25"/>
      <c r="F6" s="202"/>
      <c r="G6" s="728"/>
    </row>
    <row r="7" spans="1:7" s="727" customFormat="1" ht="18.600000000000001" customHeight="1" thickBot="1" x14ac:dyDescent="0.3">
      <c r="A7" s="681"/>
      <c r="B7" s="679"/>
      <c r="C7" s="114"/>
      <c r="D7" s="47"/>
      <c r="E7" s="1423"/>
      <c r="F7" s="202"/>
      <c r="G7" s="728"/>
    </row>
    <row r="8" spans="1:7" s="727" customFormat="1" ht="18.600000000000001" customHeight="1" thickBot="1" x14ac:dyDescent="0.3">
      <c r="A8" s="128" t="s">
        <v>1315</v>
      </c>
      <c r="B8" s="131" t="s">
        <v>1312</v>
      </c>
      <c r="C8" s="722" t="str">
        <f>C6</f>
        <v>Yes</v>
      </c>
      <c r="D8" s="128"/>
      <c r="E8" s="40" t="str">
        <f>IF(C8="Yes","COMPLIANT","NOT COMPLIANT")</f>
        <v>COMPLIANT</v>
      </c>
      <c r="F8" s="206"/>
      <c r="G8" s="728"/>
    </row>
    <row r="9" spans="1:7" s="727" customFormat="1" ht="18.600000000000001" customHeight="1" thickBot="1" x14ac:dyDescent="0.3">
      <c r="A9" s="731"/>
      <c r="B9" s="471"/>
      <c r="C9" s="523"/>
      <c r="D9" s="1"/>
      <c r="E9" s="1"/>
      <c r="F9" s="1"/>
      <c r="G9" s="728"/>
    </row>
    <row r="10" spans="1:7" s="727" customFormat="1" ht="18.600000000000001" customHeight="1" thickBot="1" x14ac:dyDescent="0.3">
      <c r="A10" s="18" t="s">
        <v>315</v>
      </c>
      <c r="B10" s="19" t="s">
        <v>229</v>
      </c>
      <c r="C10" s="500" t="s">
        <v>232</v>
      </c>
      <c r="D10" s="19" t="s">
        <v>342</v>
      </c>
      <c r="E10" s="19" t="s">
        <v>231</v>
      </c>
      <c r="F10" s="195" t="s">
        <v>344</v>
      </c>
      <c r="G10" s="728"/>
    </row>
    <row r="11" spans="1:7" s="727" customFormat="1" ht="18.600000000000001" customHeight="1" thickBot="1" x14ac:dyDescent="0.3">
      <c r="A11" s="679" t="s">
        <v>1311</v>
      </c>
      <c r="B11" s="679" t="s">
        <v>1380</v>
      </c>
      <c r="C11" s="394" t="s">
        <v>1381</v>
      </c>
      <c r="D11" s="35" t="s">
        <v>1318</v>
      </c>
      <c r="E11" s="35" t="e">
        <f>E26</f>
        <v>#DIV/0!</v>
      </c>
      <c r="F11" s="199" t="s">
        <v>1382</v>
      </c>
      <c r="G11" s="728"/>
    </row>
    <row r="12" spans="1:7" s="727" customFormat="1" ht="18.600000000000001" customHeight="1" thickBot="1" x14ac:dyDescent="0.3">
      <c r="A12" s="151" t="s">
        <v>1320</v>
      </c>
      <c r="B12" s="42" t="s">
        <v>229</v>
      </c>
      <c r="C12" s="492"/>
      <c r="D12" s="3"/>
      <c r="E12" s="3"/>
      <c r="F12" s="200"/>
      <c r="G12" s="728"/>
    </row>
    <row r="13" spans="1:7" s="727" customFormat="1" ht="18.600000000000001" customHeight="1" thickBot="1" x14ac:dyDescent="0.3">
      <c r="A13" s="38"/>
      <c r="B13" s="48"/>
      <c r="C13" s="501"/>
      <c r="D13" s="37"/>
      <c r="E13" s="37"/>
      <c r="F13" s="196"/>
      <c r="G13" s="728"/>
    </row>
    <row r="14" spans="1:7" s="727" customFormat="1" ht="18.600000000000001" customHeight="1" thickBot="1" x14ac:dyDescent="0.3">
      <c r="A14" s="679"/>
      <c r="B14" s="679" t="s">
        <v>820</v>
      </c>
      <c r="C14" s="1165">
        <f>'Input Data'!E178</f>
        <v>0</v>
      </c>
      <c r="D14" s="47">
        <f>'Input Data'!E10</f>
        <v>0</v>
      </c>
      <c r="E14" s="679"/>
      <c r="F14" s="686" t="s">
        <v>821</v>
      </c>
      <c r="G14" s="728"/>
    </row>
    <row r="15" spans="1:7" s="727" customFormat="1" ht="18.600000000000001" customHeight="1" thickBot="1" x14ac:dyDescent="0.3">
      <c r="A15" s="679"/>
      <c r="B15" s="679" t="s">
        <v>816</v>
      </c>
      <c r="C15" s="385">
        <f>'Input Data'!E176</f>
        <v>0</v>
      </c>
      <c r="D15" s="47">
        <f>'Input Data'!E10</f>
        <v>0</v>
      </c>
      <c r="E15" s="679"/>
      <c r="F15" s="686"/>
      <c r="G15" s="728"/>
    </row>
    <row r="16" spans="1:7" s="727" customFormat="1" ht="18.600000000000001" customHeight="1" thickBot="1" x14ac:dyDescent="0.3">
      <c r="A16" s="679"/>
      <c r="B16" s="679" t="s">
        <v>1383</v>
      </c>
      <c r="C16" s="385">
        <f>'Input Data'!E12</f>
        <v>0</v>
      </c>
      <c r="D16" s="47" t="s">
        <v>367</v>
      </c>
      <c r="E16" s="679"/>
      <c r="F16" s="686"/>
      <c r="G16" s="728"/>
    </row>
    <row r="17" spans="1:7" s="727" customFormat="1" ht="18.600000000000001" customHeight="1" thickBot="1" x14ac:dyDescent="0.3">
      <c r="A17" s="679"/>
      <c r="B17" s="679" t="s">
        <v>818</v>
      </c>
      <c r="C17" s="385">
        <f>'Input Data'!E177</f>
        <v>0</v>
      </c>
      <c r="D17" s="47">
        <f>'Input Data'!E10</f>
        <v>0</v>
      </c>
      <c r="E17" s="679"/>
      <c r="F17" s="686"/>
      <c r="G17" s="728"/>
    </row>
    <row r="18" spans="1:7" s="727" customFormat="1" ht="18.600000000000001" customHeight="1" x14ac:dyDescent="0.25">
      <c r="A18" s="679"/>
      <c r="B18" s="679" t="s">
        <v>816</v>
      </c>
      <c r="C18" s="114">
        <f>IF(C15&gt;0,C15,(C16*C17))</f>
        <v>0</v>
      </c>
      <c r="D18" s="47">
        <f>'Input Data'!E10</f>
        <v>0</v>
      </c>
      <c r="E18" s="679"/>
      <c r="F18" s="686"/>
      <c r="G18" s="728"/>
    </row>
    <row r="19" spans="1:7" s="727" customFormat="1" ht="18.600000000000001" customHeight="1" x14ac:dyDescent="0.25">
      <c r="A19" s="679"/>
      <c r="B19" s="679" t="s">
        <v>1384</v>
      </c>
      <c r="C19" s="414">
        <f>C18/1000000</f>
        <v>0</v>
      </c>
      <c r="D19" s="47" t="str">
        <f>"million "&amp;'Input Data'!E10</f>
        <v>million 0</v>
      </c>
      <c r="E19" s="679"/>
      <c r="F19" s="203"/>
      <c r="G19" s="728"/>
    </row>
    <row r="20" spans="1:7" s="727" customFormat="1" ht="18.600000000000001" customHeight="1" x14ac:dyDescent="0.25">
      <c r="A20" s="679"/>
      <c r="B20" s="679" t="s">
        <v>1321</v>
      </c>
      <c r="C20" s="425">
        <f>'Input Data'!$E$12</f>
        <v>0</v>
      </c>
      <c r="D20" s="47" t="s">
        <v>367</v>
      </c>
      <c r="E20" s="679"/>
      <c r="F20" s="203"/>
      <c r="G20" s="728"/>
    </row>
    <row r="21" spans="1:7" s="727" customFormat="1" ht="18.600000000000001" customHeight="1" x14ac:dyDescent="0.25">
      <c r="A21" s="679"/>
      <c r="B21" s="679" t="s">
        <v>1385</v>
      </c>
      <c r="C21" s="414">
        <f>C19-(C14/1000000)</f>
        <v>0</v>
      </c>
      <c r="D21" s="47" t="str">
        <f>"million "&amp;'Input Data'!E10</f>
        <v>million 0</v>
      </c>
      <c r="E21" s="679"/>
      <c r="F21" s="202"/>
      <c r="G21" s="728"/>
    </row>
    <row r="22" spans="1:7" s="727" customFormat="1" ht="19.5" customHeight="1" x14ac:dyDescent="0.25">
      <c r="A22" s="5"/>
      <c r="B22" s="5" t="s">
        <v>1341</v>
      </c>
      <c r="C22" s="534" t="e">
        <f>C21*1000000/C20</f>
        <v>#DIV/0!</v>
      </c>
      <c r="D22" s="5" t="str">
        <f>'Input Data'!E10&amp;" / t cane"</f>
        <v>0 / t cane</v>
      </c>
      <c r="E22" s="5"/>
      <c r="F22" s="204"/>
      <c r="G22" s="728"/>
    </row>
    <row r="23" spans="1:7" ht="14.1" customHeight="1" thickBot="1" x14ac:dyDescent="0.3">
      <c r="A23" s="679"/>
      <c r="B23" s="679"/>
      <c r="C23" s="114"/>
      <c r="D23" s="679"/>
      <c r="E23" s="679"/>
      <c r="F23" s="202"/>
      <c r="G23" s="11"/>
    </row>
    <row r="24" spans="1:7" ht="15.75" thickBot="1" x14ac:dyDescent="0.3">
      <c r="A24" s="679"/>
      <c r="B24" s="681" t="s">
        <v>1342</v>
      </c>
      <c r="C24" s="385">
        <f>'Input Data'!$E$11</f>
        <v>0</v>
      </c>
      <c r="D24" s="679" t="str">
        <f>'Input Data'!E10&amp;" / US $"</f>
        <v>0 / US $</v>
      </c>
      <c r="E24" s="679"/>
      <c r="F24" s="205" t="s">
        <v>1343</v>
      </c>
      <c r="G24" s="11"/>
    </row>
    <row r="25" spans="1:7" ht="15.75" thickBot="1" x14ac:dyDescent="0.3">
      <c r="A25" s="679"/>
      <c r="B25" s="681"/>
      <c r="C25" s="520"/>
      <c r="D25" s="679"/>
      <c r="E25" s="679"/>
      <c r="F25" s="205"/>
      <c r="G25" s="11"/>
    </row>
    <row r="26" spans="1:7" ht="15.75" thickBot="1" x14ac:dyDescent="0.3">
      <c r="A26" s="128" t="s">
        <v>1344</v>
      </c>
      <c r="B26" s="128" t="s">
        <v>1380</v>
      </c>
      <c r="C26" s="521" t="e">
        <f>C22/C24</f>
        <v>#DIV/0!</v>
      </c>
      <c r="D26" s="128" t="s">
        <v>1345</v>
      </c>
      <c r="E26" s="16" t="e">
        <f>IF(C26&gt;10,"COMPLIANT","NOT COMPLIANT")</f>
        <v>#DIV/0!</v>
      </c>
      <c r="F26" s="206"/>
      <c r="G26" s="11"/>
    </row>
    <row r="27" spans="1:7" ht="24" thickBot="1" x14ac:dyDescent="0.3">
      <c r="A27" s="731"/>
      <c r="B27" s="471"/>
      <c r="C27" s="523"/>
      <c r="D27" s="1"/>
      <c r="E27" s="1"/>
      <c r="F27" s="1"/>
      <c r="G27" s="11"/>
    </row>
    <row r="28" spans="1:7" ht="15.75" thickBot="1" x14ac:dyDescent="0.3">
      <c r="A28" s="18" t="s">
        <v>315</v>
      </c>
      <c r="B28" s="19" t="s">
        <v>229</v>
      </c>
      <c r="C28" s="500" t="s">
        <v>232</v>
      </c>
      <c r="D28" s="19" t="s">
        <v>342</v>
      </c>
      <c r="E28" s="19" t="s">
        <v>1265</v>
      </c>
      <c r="F28" s="195" t="s">
        <v>344</v>
      </c>
      <c r="G28" s="11"/>
    </row>
    <row r="29" spans="1:7" ht="27.75" thickBot="1" x14ac:dyDescent="0.3">
      <c r="A29" s="6" t="s">
        <v>1311</v>
      </c>
      <c r="B29" s="6" t="s">
        <v>1346</v>
      </c>
      <c r="C29" s="394" t="s">
        <v>1347</v>
      </c>
      <c r="D29" s="1423"/>
      <c r="E29" s="35" t="str">
        <f>E34</f>
        <v>NOT COMPLIANT</v>
      </c>
      <c r="F29" s="686" t="s">
        <v>1313</v>
      </c>
      <c r="G29" s="11"/>
    </row>
    <row r="30" spans="1:7" ht="15.75" thickBot="1" x14ac:dyDescent="0.3">
      <c r="A30" s="151" t="s">
        <v>1348</v>
      </c>
      <c r="B30" s="42" t="s">
        <v>229</v>
      </c>
      <c r="C30" s="492"/>
      <c r="D30" s="3"/>
      <c r="E30" s="3"/>
      <c r="F30" s="200"/>
      <c r="G30" s="11"/>
    </row>
    <row r="31" spans="1:7" ht="15.75" thickBot="1" x14ac:dyDescent="0.3">
      <c r="A31" s="38"/>
      <c r="B31" s="48"/>
      <c r="C31" s="501"/>
      <c r="D31" s="37"/>
      <c r="E31" s="37"/>
      <c r="F31" s="196"/>
      <c r="G31" s="11"/>
    </row>
    <row r="32" spans="1:7" ht="15.75" thickBot="1" x14ac:dyDescent="0.3">
      <c r="A32" s="681"/>
      <c r="B32" s="39" t="s">
        <v>824</v>
      </c>
      <c r="C32" s="494">
        <f>'Input Data'!E179</f>
        <v>0</v>
      </c>
      <c r="D32" s="681" t="s">
        <v>539</v>
      </c>
      <c r="E32" s="25"/>
      <c r="F32" s="202"/>
      <c r="G32" s="11"/>
    </row>
    <row r="33" spans="1:7" ht="15.75" thickBot="1" x14ac:dyDescent="0.3">
      <c r="A33" s="681"/>
      <c r="B33" s="679"/>
      <c r="C33" s="114"/>
      <c r="D33" s="47"/>
      <c r="E33" s="1423"/>
      <c r="F33" s="202"/>
      <c r="G33" s="11"/>
    </row>
    <row r="34" spans="1:7" ht="27.75" thickBot="1" x14ac:dyDescent="0.3">
      <c r="A34" s="128" t="s">
        <v>1349</v>
      </c>
      <c r="B34" s="131" t="s">
        <v>1346</v>
      </c>
      <c r="C34" s="1242">
        <f>C32</f>
        <v>0</v>
      </c>
      <c r="D34" s="128"/>
      <c r="E34" s="40" t="str">
        <f>IF(C34&gt;=6,"COMPLIANT","NOT COMPLIANT")</f>
        <v>NOT COMPLIANT</v>
      </c>
      <c r="F34" s="206"/>
      <c r="G34" s="34"/>
    </row>
    <row r="35" spans="1:7" ht="24" thickBot="1" x14ac:dyDescent="0.3">
      <c r="A35" s="731"/>
      <c r="B35" s="471"/>
      <c r="C35" s="523"/>
      <c r="D35" s="1"/>
      <c r="E35" s="1"/>
      <c r="F35" s="1"/>
      <c r="G35" s="11"/>
    </row>
    <row r="36" spans="1:7" s="692" customFormat="1" ht="15.75" thickBot="1" x14ac:dyDescent="0.3">
      <c r="A36" s="18" t="s">
        <v>315</v>
      </c>
      <c r="B36" s="19" t="s">
        <v>229</v>
      </c>
      <c r="C36" s="500" t="s">
        <v>232</v>
      </c>
      <c r="D36" s="19" t="s">
        <v>342</v>
      </c>
      <c r="E36" s="19" t="s">
        <v>1265</v>
      </c>
      <c r="F36" s="195" t="s">
        <v>344</v>
      </c>
      <c r="G36" s="11"/>
    </row>
    <row r="37" spans="1:7" s="692" customFormat="1" ht="27.75" thickBot="1" x14ac:dyDescent="0.3">
      <c r="A37" s="6" t="s">
        <v>1311</v>
      </c>
      <c r="B37" s="6" t="s">
        <v>1350</v>
      </c>
      <c r="C37" s="394" t="s">
        <v>399</v>
      </c>
      <c r="D37" s="1423" t="s">
        <v>400</v>
      </c>
      <c r="E37" s="35"/>
      <c r="F37" s="686"/>
      <c r="G37" s="11"/>
    </row>
    <row r="38" spans="1:7" s="692" customFormat="1" ht="15.75" thickBot="1" x14ac:dyDescent="0.3">
      <c r="A38" s="151" t="s">
        <v>1351</v>
      </c>
      <c r="B38" s="42" t="s">
        <v>229</v>
      </c>
      <c r="C38" s="492"/>
      <c r="D38" s="3"/>
      <c r="E38" s="3"/>
      <c r="F38" s="200"/>
      <c r="G38" s="11"/>
    </row>
    <row r="39" spans="1:7" s="692" customFormat="1" ht="15.75" thickBot="1" x14ac:dyDescent="0.3">
      <c r="A39" s="38"/>
      <c r="B39" s="48"/>
      <c r="C39" s="501"/>
      <c r="D39" s="37"/>
      <c r="E39" s="37"/>
      <c r="F39" s="196"/>
      <c r="G39" s="11"/>
    </row>
    <row r="40" spans="1:7" s="692" customFormat="1" ht="15.75" thickBot="1" x14ac:dyDescent="0.3">
      <c r="A40" s="681"/>
      <c r="B40" s="39" t="s">
        <v>827</v>
      </c>
      <c r="C40" s="494" t="str">
        <f>'Input Data'!E180</f>
        <v>Yes</v>
      </c>
      <c r="D40" s="681"/>
      <c r="E40" s="25"/>
      <c r="F40" s="202"/>
      <c r="G40" s="11"/>
    </row>
    <row r="41" spans="1:7" s="692" customFormat="1" ht="15.75" thickBot="1" x14ac:dyDescent="0.3">
      <c r="A41" s="681"/>
      <c r="B41" s="679"/>
      <c r="C41" s="114"/>
      <c r="D41" s="47"/>
      <c r="E41" s="1423"/>
      <c r="F41" s="202"/>
      <c r="G41" s="11"/>
    </row>
    <row r="42" spans="1:7" s="692" customFormat="1" ht="27.75" thickBot="1" x14ac:dyDescent="0.3">
      <c r="A42" s="128" t="s">
        <v>1352</v>
      </c>
      <c r="B42" s="131" t="s">
        <v>1350</v>
      </c>
      <c r="C42" s="722" t="str">
        <f>C40</f>
        <v>Yes</v>
      </c>
      <c r="D42" s="128"/>
      <c r="E42" s="40" t="str">
        <f>IF(C42="Yes","COMPLIANT","NOT COMPLIANT")</f>
        <v>COMPLIANT</v>
      </c>
      <c r="F42" s="206"/>
      <c r="G42" s="11"/>
    </row>
    <row r="43" spans="1:7" s="692" customFormat="1" ht="16.5" customHeight="1" thickBot="1" x14ac:dyDescent="0.3">
      <c r="A43" s="731"/>
      <c r="B43" s="471"/>
      <c r="C43" s="523"/>
      <c r="D43" s="1"/>
      <c r="E43" s="1"/>
      <c r="F43" s="1"/>
      <c r="G43" s="11"/>
    </row>
    <row r="44" spans="1:7" s="692" customFormat="1" ht="15.75" thickBot="1" x14ac:dyDescent="0.3">
      <c r="A44" s="18" t="s">
        <v>316</v>
      </c>
      <c r="B44" s="19" t="s">
        <v>229</v>
      </c>
      <c r="C44" s="500" t="s">
        <v>232</v>
      </c>
      <c r="D44" s="19" t="s">
        <v>342</v>
      </c>
      <c r="E44" s="19" t="s">
        <v>1265</v>
      </c>
      <c r="F44" s="195" t="s">
        <v>344</v>
      </c>
      <c r="G44" s="11"/>
    </row>
    <row r="45" spans="1:7" s="692" customFormat="1" ht="27.75" thickBot="1" x14ac:dyDescent="0.3">
      <c r="A45" s="36" t="s">
        <v>1353</v>
      </c>
      <c r="B45" s="6" t="s">
        <v>1386</v>
      </c>
      <c r="C45" s="394" t="s">
        <v>1364</v>
      </c>
      <c r="D45" s="1423" t="s">
        <v>210</v>
      </c>
      <c r="E45" s="35"/>
      <c r="F45" s="686"/>
      <c r="G45" s="11"/>
    </row>
    <row r="46" spans="1:7" s="692" customFormat="1" ht="15.75" thickBot="1" x14ac:dyDescent="0.3">
      <c r="A46" s="151" t="s">
        <v>1365</v>
      </c>
      <c r="B46" s="42" t="s">
        <v>229</v>
      </c>
      <c r="C46" s="492"/>
      <c r="D46" s="3"/>
      <c r="E46" s="3"/>
      <c r="F46" s="200"/>
      <c r="G46" s="11"/>
    </row>
    <row r="47" spans="1:7" s="692" customFormat="1" ht="15.75" thickBot="1" x14ac:dyDescent="0.3">
      <c r="A47" s="130" t="s">
        <v>1366</v>
      </c>
      <c r="B47" s="130" t="s">
        <v>1386</v>
      </c>
      <c r="C47" s="385">
        <f>'Input Data'!E181</f>
        <v>0</v>
      </c>
      <c r="D47" s="132" t="s">
        <v>210</v>
      </c>
      <c r="E47" s="16" t="str">
        <f>IF(C47&gt;=50,"COMPLIANT","NOT COMPLIANT")</f>
        <v>NOT COMPLIANT</v>
      </c>
      <c r="F47" s="206"/>
      <c r="G47" s="11"/>
    </row>
    <row r="48" spans="1:7" s="692" customFormat="1" ht="15.95" customHeight="1" thickBot="1" x14ac:dyDescent="0.3">
      <c r="A48" s="731"/>
      <c r="B48" s="471"/>
      <c r="C48" s="523"/>
      <c r="D48" s="1"/>
      <c r="E48" s="1"/>
      <c r="F48" s="1"/>
      <c r="G48" s="11"/>
    </row>
    <row r="49" spans="1:7" ht="15.75" thickBot="1" x14ac:dyDescent="0.3">
      <c r="A49" s="152" t="s">
        <v>317</v>
      </c>
      <c r="B49" s="153" t="s">
        <v>229</v>
      </c>
      <c r="C49" s="490" t="s">
        <v>232</v>
      </c>
      <c r="D49" s="153" t="s">
        <v>342</v>
      </c>
      <c r="E49" s="153" t="s">
        <v>1265</v>
      </c>
      <c r="F49" s="238" t="s">
        <v>344</v>
      </c>
      <c r="G49" s="11"/>
    </row>
    <row r="50" spans="1:7" ht="27.75" thickBot="1" x14ac:dyDescent="0.3">
      <c r="A50" s="6" t="s">
        <v>1368</v>
      </c>
      <c r="B50" s="6" t="s">
        <v>1369</v>
      </c>
      <c r="C50" s="491" t="s">
        <v>1370</v>
      </c>
      <c r="D50" s="1421" t="s">
        <v>1371</v>
      </c>
      <c r="E50" s="1421"/>
      <c r="F50" s="686"/>
      <c r="G50" s="11"/>
    </row>
    <row r="51" spans="1:7" ht="15.75" thickBot="1" x14ac:dyDescent="0.3">
      <c r="A51" s="151" t="s">
        <v>1372</v>
      </c>
      <c r="B51" s="156" t="s">
        <v>229</v>
      </c>
      <c r="C51" s="492"/>
      <c r="D51" s="3"/>
      <c r="E51" s="3"/>
      <c r="F51" s="222"/>
      <c r="G51" s="11"/>
    </row>
    <row r="52" spans="1:7" ht="27.75" thickBot="1" x14ac:dyDescent="0.3">
      <c r="A52" s="6"/>
      <c r="B52" s="6" t="s">
        <v>834</v>
      </c>
      <c r="C52" s="1194">
        <f>'Input Data'!$E$182</f>
        <v>0</v>
      </c>
      <c r="D52" s="65" t="s">
        <v>835</v>
      </c>
      <c r="E52" s="1421"/>
      <c r="F52" s="686"/>
      <c r="G52" s="11"/>
    </row>
    <row r="53" spans="1:7" ht="15.75" thickBot="1" x14ac:dyDescent="0.3">
      <c r="A53" s="6"/>
      <c r="B53" s="6" t="s">
        <v>838</v>
      </c>
      <c r="C53" s="1197">
        <f>'Input Data'!$E$183</f>
        <v>0</v>
      </c>
      <c r="D53" s="1421"/>
      <c r="E53" s="1421"/>
      <c r="F53" s="686" t="s">
        <v>1373</v>
      </c>
      <c r="G53" s="11"/>
    </row>
    <row r="54" spans="1:7" x14ac:dyDescent="0.25">
      <c r="A54" s="6"/>
      <c r="B54" s="6" t="s">
        <v>1374</v>
      </c>
      <c r="C54" s="1195" t="str">
        <f>IF(C53=0,"",C52*24/C53)</f>
        <v/>
      </c>
      <c r="D54" s="65" t="s">
        <v>1387</v>
      </c>
      <c r="E54" s="1421"/>
      <c r="F54" s="686"/>
      <c r="G54" s="34"/>
    </row>
    <row r="55" spans="1:7" s="692" customFormat="1" ht="15.75" thickBot="1" x14ac:dyDescent="0.3">
      <c r="A55" s="6"/>
      <c r="B55" s="6"/>
      <c r="C55" s="1196"/>
      <c r="D55" s="1421"/>
      <c r="E55" s="1421"/>
      <c r="F55" s="686"/>
      <c r="G55" s="34"/>
    </row>
    <row r="56" spans="1:7" ht="15.75" thickBot="1" x14ac:dyDescent="0.3">
      <c r="A56" s="154" t="s">
        <v>1376</v>
      </c>
      <c r="B56" s="154" t="s">
        <v>1369</v>
      </c>
      <c r="C56" s="519" t="str">
        <f>C54</f>
        <v/>
      </c>
      <c r="D56" s="431" t="str">
        <f>D54</f>
        <v>hours / employee</v>
      </c>
      <c r="E56" s="155" t="str">
        <f>IF(C56&gt;=16, "COMPLIANT", "NOT COMPLIANT")</f>
        <v>COMPLIANT</v>
      </c>
      <c r="F56" s="228"/>
      <c r="G56" s="34"/>
    </row>
    <row r="57" spans="1:7" x14ac:dyDescent="0.25">
      <c r="A57" s="10"/>
      <c r="B57" s="10"/>
      <c r="C57" s="503"/>
      <c r="D57" s="10"/>
      <c r="E57" s="10"/>
      <c r="F57" s="135"/>
      <c r="G57" s="34"/>
    </row>
    <row r="58" spans="1:7" s="692" customFormat="1" x14ac:dyDescent="0.25"/>
    <row r="59" spans="1:7" s="692" customFormat="1" x14ac:dyDescent="0.25"/>
    <row r="60" spans="1:7" s="692" customFormat="1" x14ac:dyDescent="0.25"/>
    <row r="61" spans="1:7" s="692" customFormat="1" x14ac:dyDescent="0.25"/>
    <row r="62" spans="1:7" s="692" customFormat="1" x14ac:dyDescent="0.25"/>
    <row r="63" spans="1:7" s="692" customFormat="1" x14ac:dyDescent="0.25"/>
    <row r="64" spans="1:7" s="692" customFormat="1" x14ac:dyDescent="0.25"/>
    <row r="65" spans="1:7" s="692" customFormat="1" x14ac:dyDescent="0.25"/>
    <row r="66" spans="1:7" s="692" customFormat="1" ht="15.75" thickBot="1" x14ac:dyDescent="0.3"/>
    <row r="67" spans="1:7" s="692" customFormat="1" ht="15.75" thickBot="1" x14ac:dyDescent="0.3">
      <c r="A67" s="18" t="s">
        <v>318</v>
      </c>
      <c r="B67" s="19" t="s">
        <v>229</v>
      </c>
      <c r="C67" s="500" t="s">
        <v>232</v>
      </c>
      <c r="D67" s="19" t="s">
        <v>342</v>
      </c>
      <c r="E67" s="19" t="s">
        <v>1265</v>
      </c>
      <c r="F67" s="195" t="s">
        <v>344</v>
      </c>
      <c r="G67" s="34"/>
    </row>
    <row r="68" spans="1:7" s="692" customFormat="1" ht="15.75" thickBot="1" x14ac:dyDescent="0.3">
      <c r="A68" s="6" t="s">
        <v>1301</v>
      </c>
      <c r="B68" s="6" t="s">
        <v>1377</v>
      </c>
      <c r="C68" s="394">
        <v>15</v>
      </c>
      <c r="D68" s="1423" t="s">
        <v>210</v>
      </c>
      <c r="E68" s="35" t="e">
        <f>E74</f>
        <v>#DIV/0!</v>
      </c>
      <c r="F68" s="686"/>
      <c r="G68" s="34"/>
    </row>
    <row r="69" spans="1:7" s="692" customFormat="1" ht="15.75" thickBot="1" x14ac:dyDescent="0.3">
      <c r="A69" s="151" t="s">
        <v>1378</v>
      </c>
      <c r="B69" s="42" t="s">
        <v>229</v>
      </c>
      <c r="C69" s="492"/>
      <c r="D69" s="3"/>
      <c r="E69" s="3"/>
      <c r="F69" s="200"/>
      <c r="G69" s="34"/>
    </row>
    <row r="70" spans="1:7" s="692" customFormat="1" ht="15.75" thickBot="1" x14ac:dyDescent="0.3">
      <c r="A70" s="38"/>
      <c r="B70" s="48"/>
      <c r="C70" s="501"/>
      <c r="D70" s="37"/>
      <c r="E70" s="37"/>
      <c r="F70" s="196"/>
      <c r="G70" s="34"/>
    </row>
    <row r="71" spans="1:7" s="692" customFormat="1" ht="15.75" thickBot="1" x14ac:dyDescent="0.3">
      <c r="A71" s="38"/>
      <c r="B71" s="39" t="s">
        <v>848</v>
      </c>
      <c r="C71" s="1197">
        <f>'Input Data'!E186</f>
        <v>0</v>
      </c>
      <c r="D71" s="37"/>
      <c r="E71" s="37"/>
      <c r="F71" s="196"/>
      <c r="G71" s="34"/>
    </row>
    <row r="72" spans="1:7" ht="15.75" thickBot="1" x14ac:dyDescent="0.3">
      <c r="A72" s="681"/>
      <c r="B72" s="39" t="s">
        <v>775</v>
      </c>
      <c r="C72" s="1197">
        <f>'Input Data'!E187</f>
        <v>0</v>
      </c>
      <c r="D72" s="681"/>
      <c r="E72" s="25"/>
      <c r="F72" s="202"/>
      <c r="G72" s="34"/>
    </row>
    <row r="73" spans="1:7" ht="15.75" thickBot="1" x14ac:dyDescent="0.3">
      <c r="A73" s="681"/>
      <c r="B73" s="679"/>
      <c r="C73" s="114"/>
      <c r="D73" s="47"/>
      <c r="E73" s="1423"/>
      <c r="F73" s="202"/>
      <c r="G73" s="34"/>
    </row>
    <row r="74" spans="1:7" s="692" customFormat="1" ht="15.75" thickBot="1" x14ac:dyDescent="0.3">
      <c r="A74" s="128" t="s">
        <v>1379</v>
      </c>
      <c r="B74" s="131" t="s">
        <v>1377</v>
      </c>
      <c r="C74" s="722" t="e">
        <f>C72/(C71+C72)*100</f>
        <v>#DIV/0!</v>
      </c>
      <c r="D74" s="128"/>
      <c r="E74" s="40" t="e">
        <f>IF(C74&gt;=15,"COMPLIANT","NOT COMPLIANT")</f>
        <v>#DIV/0!</v>
      </c>
      <c r="F74" s="206"/>
      <c r="G74" s="34"/>
    </row>
    <row r="75" spans="1:7" s="692" customFormat="1" x14ac:dyDescent="0.25">
      <c r="A75" s="10"/>
      <c r="B75" s="10"/>
      <c r="C75" s="503"/>
      <c r="D75" s="10"/>
      <c r="E75" s="10"/>
      <c r="F75" s="135"/>
      <c r="G75" s="34"/>
    </row>
    <row r="76" spans="1:7" s="692" customFormat="1" x14ac:dyDescent="0.25">
      <c r="A76" s="10"/>
      <c r="B76" s="10"/>
      <c r="C76" s="503"/>
      <c r="D76" s="10"/>
      <c r="E76" s="10"/>
      <c r="F76" s="135"/>
      <c r="G76" s="34"/>
    </row>
    <row r="77" spans="1:7" s="692" customFormat="1" x14ac:dyDescent="0.25">
      <c r="A77" s="10"/>
      <c r="B77" s="10"/>
      <c r="C77" s="503"/>
      <c r="D77" s="10"/>
      <c r="E77" s="10"/>
      <c r="F77" s="135"/>
      <c r="G77" s="34"/>
    </row>
    <row r="78" spans="1:7" s="692" customFormat="1" x14ac:dyDescent="0.25">
      <c r="A78" s="10"/>
      <c r="B78" s="10"/>
      <c r="C78" s="503"/>
      <c r="D78" s="10"/>
      <c r="E78" s="10"/>
      <c r="F78" s="135"/>
      <c r="G78" s="34"/>
    </row>
    <row r="79" spans="1:7" s="692" customFormat="1" x14ac:dyDescent="0.25">
      <c r="A79" s="10"/>
      <c r="B79" s="10"/>
      <c r="C79" s="503"/>
      <c r="D79" s="10"/>
      <c r="E79" s="10"/>
      <c r="F79" s="135"/>
      <c r="G79" s="34"/>
    </row>
    <row r="80" spans="1:7" s="692" customFormat="1" x14ac:dyDescent="0.25">
      <c r="A80" s="10" t="s">
        <v>1388</v>
      </c>
      <c r="B80" s="10"/>
      <c r="C80" s="503"/>
      <c r="D80" s="10"/>
      <c r="E80" s="10"/>
      <c r="F80" s="135"/>
      <c r="G80" s="34"/>
    </row>
    <row r="81" spans="1:11" s="692" customFormat="1" x14ac:dyDescent="0.25">
      <c r="A81" s="10"/>
      <c r="B81" s="10"/>
      <c r="C81" s="503"/>
      <c r="D81" s="10"/>
      <c r="E81" s="10"/>
      <c r="F81" s="135"/>
      <c r="G81" s="34"/>
    </row>
    <row r="82" spans="1:11" s="692" customFormat="1" x14ac:dyDescent="0.25">
      <c r="A82" s="1"/>
      <c r="B82" s="1"/>
      <c r="C82" s="523"/>
      <c r="D82" s="1"/>
      <c r="E82" s="1"/>
      <c r="F82" s="1"/>
      <c r="G82" s="34"/>
    </row>
    <row r="83" spans="1:11" s="692" customFormat="1" ht="15.75" x14ac:dyDescent="0.3">
      <c r="A83" s="4" t="s">
        <v>201</v>
      </c>
      <c r="B83" s="1"/>
      <c r="C83" s="523"/>
      <c r="D83" s="1"/>
      <c r="E83" s="1"/>
      <c r="F83" s="1"/>
      <c r="G83" s="34"/>
    </row>
    <row r="84" spans="1:11" s="692" customFormat="1" ht="15.75" x14ac:dyDescent="0.3">
      <c r="A84" s="4" t="s">
        <v>202</v>
      </c>
      <c r="C84" s="22"/>
      <c r="G84" s="34"/>
    </row>
    <row r="85" spans="1:11" s="692" customFormat="1" x14ac:dyDescent="0.25">
      <c r="C85" s="22"/>
      <c r="G85" s="34"/>
    </row>
    <row r="86" spans="1:11" x14ac:dyDescent="0.25">
      <c r="A86" s="692"/>
      <c r="B86" s="692"/>
      <c r="D86" s="692"/>
      <c r="E86" s="692"/>
      <c r="F86" s="692"/>
      <c r="G86" s="34"/>
      <c r="H86" s="692"/>
      <c r="I86" s="692"/>
      <c r="J86" s="692"/>
      <c r="K86" s="692"/>
    </row>
    <row r="87" spans="1:11" x14ac:dyDescent="0.25">
      <c r="A87" s="692"/>
      <c r="B87" s="692"/>
      <c r="D87" s="692"/>
      <c r="E87" s="692"/>
      <c r="F87" s="692"/>
      <c r="G87" s="34"/>
      <c r="H87" s="692"/>
      <c r="I87" s="692"/>
      <c r="J87" s="692"/>
      <c r="K87" s="692"/>
    </row>
    <row r="88" spans="1:11" x14ac:dyDescent="0.25">
      <c r="A88" s="692"/>
      <c r="B88" s="692"/>
      <c r="D88" s="692"/>
      <c r="E88" s="692"/>
      <c r="F88" s="692"/>
      <c r="G88" s="11"/>
      <c r="H88" s="692"/>
      <c r="I88" s="692"/>
      <c r="J88" s="692"/>
      <c r="K88" s="692"/>
    </row>
    <row r="89" spans="1:11" x14ac:dyDescent="0.25">
      <c r="A89" s="692"/>
      <c r="B89" s="692"/>
      <c r="D89" s="692"/>
      <c r="E89" s="692"/>
      <c r="F89" s="692"/>
      <c r="G89" s="11"/>
      <c r="H89" s="692"/>
      <c r="I89" s="692"/>
      <c r="J89" s="692"/>
      <c r="K89" s="692"/>
    </row>
    <row r="90" spans="1:11" x14ac:dyDescent="0.25">
      <c r="A90" s="692"/>
      <c r="B90" s="692"/>
      <c r="D90" s="692"/>
      <c r="E90" s="692"/>
      <c r="F90" s="692"/>
      <c r="G90" s="11"/>
      <c r="H90" s="692"/>
      <c r="I90" s="692"/>
      <c r="J90" s="692"/>
      <c r="K90" s="692"/>
    </row>
    <row r="91" spans="1:11" x14ac:dyDescent="0.25">
      <c r="A91" s="692"/>
      <c r="B91" s="692"/>
      <c r="D91" s="692"/>
      <c r="E91" s="692"/>
      <c r="F91" s="692"/>
      <c r="G91" s="11"/>
      <c r="H91" s="692"/>
      <c r="I91" s="692"/>
      <c r="J91" s="692"/>
      <c r="K91" s="692"/>
    </row>
    <row r="92" spans="1:11" x14ac:dyDescent="0.25">
      <c r="A92" s="692"/>
      <c r="B92" s="692"/>
      <c r="D92" s="692"/>
      <c r="E92" s="692"/>
      <c r="F92" s="692"/>
      <c r="G92" s="11"/>
      <c r="H92" s="692"/>
      <c r="I92" s="692"/>
      <c r="J92" s="692"/>
      <c r="K92" s="692"/>
    </row>
    <row r="93" spans="1:11" x14ac:dyDescent="0.25">
      <c r="A93" s="692"/>
      <c r="B93" s="692"/>
      <c r="D93" s="692"/>
      <c r="E93" s="692"/>
      <c r="F93" s="692"/>
      <c r="G93" s="34"/>
      <c r="H93" s="692"/>
      <c r="I93" s="692"/>
      <c r="J93" s="692"/>
      <c r="K93" s="692"/>
    </row>
    <row r="94" spans="1:11" x14ac:dyDescent="0.25">
      <c r="A94" s="692"/>
      <c r="B94" s="692"/>
      <c r="D94" s="692"/>
      <c r="E94" s="692"/>
      <c r="F94" s="692"/>
      <c r="G94" s="11"/>
      <c r="H94" s="692"/>
      <c r="I94" s="692"/>
      <c r="J94" s="692"/>
      <c r="K94" s="692"/>
    </row>
    <row r="95" spans="1:11" x14ac:dyDescent="0.25">
      <c r="A95" s="692"/>
      <c r="B95" s="692"/>
      <c r="D95" s="692"/>
      <c r="E95" s="692"/>
      <c r="F95" s="692"/>
      <c r="G95" s="11"/>
      <c r="H95" s="692"/>
      <c r="I95" s="692"/>
      <c r="J95" s="692"/>
      <c r="K95" s="692"/>
    </row>
    <row r="96" spans="1:11" x14ac:dyDescent="0.25">
      <c r="A96" s="692"/>
      <c r="B96" s="692"/>
      <c r="D96" s="692"/>
      <c r="E96" s="692"/>
      <c r="F96" s="692"/>
      <c r="G96" s="11"/>
      <c r="H96" s="692"/>
      <c r="I96" s="692"/>
      <c r="J96" s="692"/>
      <c r="K96" s="692"/>
    </row>
    <row r="97" spans="1:11" x14ac:dyDescent="0.25">
      <c r="A97" s="692"/>
      <c r="B97" s="692"/>
      <c r="D97" s="692"/>
      <c r="E97" s="692"/>
      <c r="F97" s="692"/>
      <c r="G97" s="11"/>
      <c r="H97" s="692"/>
      <c r="I97" s="692"/>
      <c r="J97" s="692"/>
      <c r="K97" s="692"/>
    </row>
    <row r="98" spans="1:11" x14ac:dyDescent="0.25">
      <c r="A98" s="692"/>
      <c r="B98" s="692"/>
      <c r="D98" s="692"/>
      <c r="E98" s="692"/>
      <c r="F98" s="692"/>
      <c r="G98" s="11"/>
      <c r="H98" s="692"/>
      <c r="I98" s="692"/>
      <c r="J98" s="692"/>
      <c r="K98" s="692"/>
    </row>
    <row r="99" spans="1:11" x14ac:dyDescent="0.25">
      <c r="A99" s="692"/>
      <c r="B99" s="692"/>
      <c r="D99" s="692"/>
      <c r="E99" s="692"/>
      <c r="F99" s="692"/>
      <c r="G99" s="11"/>
      <c r="H99" s="692"/>
      <c r="I99" s="692"/>
      <c r="J99" s="692"/>
      <c r="K99" s="692"/>
    </row>
    <row r="100" spans="1:11" x14ac:dyDescent="0.25">
      <c r="A100" s="692"/>
      <c r="B100" s="692"/>
      <c r="D100" s="692"/>
      <c r="E100" s="692"/>
      <c r="F100" s="692"/>
      <c r="G100" s="11"/>
      <c r="H100" s="692"/>
      <c r="I100" s="692"/>
      <c r="J100" s="692"/>
      <c r="K100" s="692"/>
    </row>
    <row r="101" spans="1:11" x14ac:dyDescent="0.25">
      <c r="A101" s="692"/>
      <c r="B101" s="692"/>
      <c r="D101" s="692"/>
      <c r="E101" s="692"/>
      <c r="F101" s="692"/>
      <c r="G101" s="11"/>
      <c r="H101" s="692"/>
      <c r="I101" s="692"/>
      <c r="J101" s="692"/>
      <c r="K101" s="692"/>
    </row>
    <row r="102" spans="1:11" x14ac:dyDescent="0.25">
      <c r="A102" s="692"/>
      <c r="B102" s="692"/>
      <c r="D102" s="692"/>
      <c r="E102" s="692"/>
      <c r="F102" s="692"/>
      <c r="G102" s="34"/>
      <c r="H102" s="692"/>
      <c r="I102" s="692"/>
      <c r="J102" s="692"/>
      <c r="K102" s="692"/>
    </row>
    <row r="103" spans="1:11" x14ac:dyDescent="0.25">
      <c r="A103" s="692"/>
      <c r="B103" s="692"/>
      <c r="D103" s="692"/>
      <c r="E103" s="692"/>
      <c r="F103" s="692"/>
      <c r="G103" s="11"/>
      <c r="H103" s="692"/>
      <c r="I103" s="692"/>
      <c r="J103" s="692"/>
      <c r="K103" s="692"/>
    </row>
    <row r="104" spans="1:11" x14ac:dyDescent="0.25">
      <c r="A104" s="692"/>
      <c r="B104" s="692"/>
      <c r="D104" s="692"/>
      <c r="E104" s="692"/>
      <c r="F104" s="692"/>
      <c r="G104" s="11"/>
      <c r="H104" s="692"/>
      <c r="I104" s="692"/>
      <c r="J104" s="692"/>
      <c r="K104" s="692"/>
    </row>
    <row r="105" spans="1:11" x14ac:dyDescent="0.25">
      <c r="A105" s="692"/>
      <c r="B105" s="692"/>
      <c r="D105" s="692"/>
      <c r="E105" s="692"/>
      <c r="F105" s="692"/>
      <c r="G105" s="11"/>
      <c r="H105" s="692"/>
      <c r="I105" s="692"/>
      <c r="J105" s="692"/>
      <c r="K105" s="692"/>
    </row>
    <row r="106" spans="1:11" x14ac:dyDescent="0.25">
      <c r="A106" s="692"/>
      <c r="B106" s="692"/>
      <c r="D106" s="692"/>
      <c r="E106" s="692"/>
      <c r="F106" s="692"/>
      <c r="G106" s="11"/>
      <c r="H106" s="692"/>
      <c r="I106" s="692"/>
      <c r="J106" s="692"/>
      <c r="K106" s="692"/>
    </row>
    <row r="107" spans="1:11" x14ac:dyDescent="0.25">
      <c r="A107" s="692"/>
      <c r="B107" s="692"/>
      <c r="D107" s="692"/>
      <c r="E107" s="692"/>
      <c r="F107" s="692"/>
      <c r="G107" s="11"/>
      <c r="H107" s="692"/>
      <c r="I107" s="692"/>
      <c r="J107" s="692"/>
      <c r="K107" s="692"/>
    </row>
    <row r="108" spans="1:11" x14ac:dyDescent="0.25">
      <c r="A108" s="692"/>
      <c r="B108" s="692"/>
      <c r="D108" s="692"/>
      <c r="E108" s="692"/>
      <c r="F108" s="692"/>
      <c r="G108" s="11"/>
      <c r="H108" s="692"/>
      <c r="I108" s="692"/>
      <c r="J108" s="692"/>
      <c r="K108" s="692"/>
    </row>
    <row r="109" spans="1:11" x14ac:dyDescent="0.25">
      <c r="A109" s="692"/>
      <c r="B109" s="692"/>
      <c r="D109" s="692"/>
      <c r="E109" s="692"/>
      <c r="F109" s="692"/>
      <c r="G109" s="11"/>
      <c r="H109" s="692"/>
      <c r="I109" s="692"/>
      <c r="J109" s="692"/>
      <c r="K109" s="692"/>
    </row>
    <row r="110" spans="1:11" x14ac:dyDescent="0.25">
      <c r="A110" s="692"/>
      <c r="B110" s="692"/>
      <c r="D110" s="692"/>
      <c r="E110" s="692"/>
      <c r="F110" s="692"/>
      <c r="G110" s="11"/>
      <c r="H110" s="692"/>
      <c r="I110" s="692"/>
      <c r="J110" s="692"/>
      <c r="K110" s="692"/>
    </row>
    <row r="111" spans="1:11" x14ac:dyDescent="0.25">
      <c r="A111" s="692"/>
      <c r="B111" s="692"/>
      <c r="D111" s="692"/>
      <c r="E111" s="692"/>
      <c r="F111" s="692"/>
      <c r="G111" s="34"/>
      <c r="H111" s="692"/>
      <c r="I111" s="692"/>
      <c r="J111" s="692"/>
      <c r="K111" s="692"/>
    </row>
    <row r="112" spans="1:11" x14ac:dyDescent="0.25">
      <c r="A112" s="692"/>
      <c r="B112" s="692"/>
      <c r="D112" s="692"/>
      <c r="E112" s="692"/>
      <c r="F112" s="692"/>
      <c r="G112" s="120"/>
      <c r="H112" s="692"/>
      <c r="I112" s="692"/>
      <c r="J112" s="692"/>
      <c r="K112" s="692"/>
    </row>
    <row r="113" spans="7:11" x14ac:dyDescent="0.25">
      <c r="G113" s="120"/>
      <c r="H113" s="692"/>
      <c r="I113" s="692"/>
      <c r="J113" s="692"/>
      <c r="K113" s="692"/>
    </row>
    <row r="114" spans="7:11" x14ac:dyDescent="0.25">
      <c r="G114" s="120"/>
      <c r="H114" s="692"/>
      <c r="I114" s="692"/>
      <c r="J114" s="692"/>
      <c r="K114" s="692"/>
    </row>
    <row r="115" spans="7:11" x14ac:dyDescent="0.25">
      <c r="G115" s="120"/>
      <c r="H115" s="692"/>
      <c r="I115" s="692"/>
      <c r="J115" s="692"/>
      <c r="K115" s="692"/>
    </row>
    <row r="116" spans="7:11" x14ac:dyDescent="0.25">
      <c r="G116" s="120"/>
      <c r="H116" s="51"/>
      <c r="I116" s="51"/>
      <c r="J116" s="51"/>
      <c r="K116" s="51"/>
    </row>
    <row r="117" spans="7:11" x14ac:dyDescent="0.25">
      <c r="G117" s="120"/>
      <c r="H117" s="51"/>
      <c r="I117" s="51"/>
      <c r="J117" s="51"/>
      <c r="K117" s="51"/>
    </row>
    <row r="118" spans="7:11" x14ac:dyDescent="0.25">
      <c r="G118" s="172"/>
      <c r="H118" s="20"/>
      <c r="I118" s="51"/>
      <c r="J118" s="51"/>
      <c r="K118" s="51"/>
    </row>
    <row r="119" spans="7:11" x14ac:dyDescent="0.25">
      <c r="G119" s="120"/>
      <c r="H119" s="51"/>
      <c r="I119" s="51"/>
      <c r="J119" s="51"/>
      <c r="K119" s="51"/>
    </row>
    <row r="120" spans="7:11" x14ac:dyDescent="0.25">
      <c r="G120" s="120"/>
      <c r="H120" s="51"/>
      <c r="I120" s="51"/>
      <c r="J120" s="51"/>
      <c r="K120" s="51"/>
    </row>
    <row r="121" spans="7:11" x14ac:dyDescent="0.25">
      <c r="G121" s="120"/>
      <c r="H121" s="51"/>
      <c r="I121" s="51"/>
      <c r="J121" s="51"/>
      <c r="K121" s="51"/>
    </row>
    <row r="122" spans="7:11" ht="15.75" x14ac:dyDescent="0.3">
      <c r="G122" s="41"/>
      <c r="H122" s="51"/>
      <c r="I122" s="51"/>
      <c r="J122" s="51"/>
      <c r="K122" s="51"/>
    </row>
    <row r="123" spans="7:11" ht="15.75" x14ac:dyDescent="0.3">
      <c r="G123" s="41"/>
      <c r="H123" s="51"/>
      <c r="I123" s="51"/>
      <c r="J123" s="51"/>
      <c r="K123" s="51"/>
    </row>
    <row r="124" spans="7:11" ht="15.75" x14ac:dyDescent="0.3">
      <c r="G124" s="41"/>
      <c r="H124" s="51"/>
      <c r="I124" s="51"/>
      <c r="J124" s="51"/>
      <c r="K124" s="51"/>
    </row>
    <row r="125" spans="7:11" ht="15.75" x14ac:dyDescent="0.3">
      <c r="G125" s="41"/>
      <c r="H125" s="51"/>
      <c r="I125" s="51"/>
      <c r="J125" s="51"/>
      <c r="K125" s="51"/>
    </row>
    <row r="126" spans="7:11" ht="15.75" x14ac:dyDescent="0.3">
      <c r="G126" s="41"/>
      <c r="H126" s="51"/>
      <c r="I126" s="51"/>
      <c r="J126" s="51"/>
      <c r="K126" s="51"/>
    </row>
    <row r="127" spans="7:11" ht="15.75" x14ac:dyDescent="0.3">
      <c r="G127" s="41"/>
      <c r="H127" s="51"/>
      <c r="I127" s="51"/>
      <c r="J127" s="51"/>
      <c r="K127" s="51"/>
    </row>
    <row r="128" spans="7:11" ht="15.75" x14ac:dyDescent="0.3">
      <c r="G128" s="41"/>
      <c r="H128" s="51"/>
      <c r="I128" s="51"/>
      <c r="J128" s="51"/>
      <c r="K128" s="51"/>
    </row>
    <row r="129" spans="7:11" ht="15.75" x14ac:dyDescent="0.3">
      <c r="G129" s="41"/>
      <c r="H129" s="51"/>
      <c r="I129" s="51"/>
      <c r="J129" s="51"/>
      <c r="K129" s="51"/>
    </row>
    <row r="130" spans="7:11" ht="15.75" x14ac:dyDescent="0.3">
      <c r="G130" s="41"/>
      <c r="H130" s="51"/>
      <c r="I130" s="51"/>
      <c r="J130" s="51"/>
      <c r="K130" s="51"/>
    </row>
    <row r="131" spans="7:11" x14ac:dyDescent="0.25">
      <c r="G131" s="160"/>
      <c r="H131" s="51"/>
      <c r="I131" s="51"/>
      <c r="J131" s="51"/>
      <c r="K131" s="51"/>
    </row>
    <row r="132" spans="7:11" x14ac:dyDescent="0.25">
      <c r="G132" s="160"/>
      <c r="H132" s="51"/>
      <c r="I132" s="51"/>
      <c r="J132" s="51"/>
      <c r="K132" s="51"/>
    </row>
    <row r="133" spans="7:11" ht="15.75" x14ac:dyDescent="0.3">
      <c r="G133" s="41"/>
      <c r="H133" s="51"/>
      <c r="I133" s="51"/>
      <c r="J133" s="51"/>
      <c r="K133" s="51"/>
    </row>
    <row r="134" spans="7:11" ht="15.75" x14ac:dyDescent="0.3">
      <c r="G134" s="41"/>
      <c r="H134" s="51"/>
      <c r="I134" s="51"/>
      <c r="J134" s="51"/>
      <c r="K134" s="51"/>
    </row>
    <row r="135" spans="7:11" ht="15.75" x14ac:dyDescent="0.3">
      <c r="G135" s="41"/>
      <c r="H135" s="51"/>
      <c r="I135" s="51"/>
      <c r="J135" s="51"/>
      <c r="K135" s="51"/>
    </row>
    <row r="136" spans="7:11" x14ac:dyDescent="0.25">
      <c r="G136" s="50"/>
      <c r="H136" s="52"/>
      <c r="I136" s="77"/>
      <c r="J136" s="51"/>
      <c r="K136" s="51"/>
    </row>
    <row r="137" spans="7:11" x14ac:dyDescent="0.25">
      <c r="G137" s="50"/>
      <c r="H137" s="52"/>
      <c r="I137" s="77"/>
      <c r="J137" s="51"/>
      <c r="K137" s="51"/>
    </row>
    <row r="138" spans="7:11" x14ac:dyDescent="0.25">
      <c r="G138" s="50"/>
      <c r="H138" s="52"/>
      <c r="I138" s="77"/>
      <c r="J138" s="51"/>
      <c r="K138" s="51"/>
    </row>
    <row r="139" spans="7:11" x14ac:dyDescent="0.25">
      <c r="G139" s="50"/>
      <c r="H139" s="52"/>
      <c r="I139" s="77"/>
      <c r="J139" s="51"/>
      <c r="K139" s="51"/>
    </row>
    <row r="140" spans="7:11" x14ac:dyDescent="0.25">
      <c r="G140" s="50"/>
      <c r="H140" s="52"/>
      <c r="I140" s="77"/>
      <c r="J140" s="51"/>
      <c r="K140" s="51"/>
    </row>
    <row r="141" spans="7:11" x14ac:dyDescent="0.25">
      <c r="G141" s="50"/>
      <c r="H141" s="52"/>
      <c r="I141" s="77"/>
      <c r="J141" s="51"/>
      <c r="K141" s="51"/>
    </row>
    <row r="142" spans="7:11" x14ac:dyDescent="0.25">
      <c r="G142" s="50"/>
      <c r="H142" s="52"/>
      <c r="I142" s="77"/>
      <c r="J142" s="51"/>
      <c r="K142" s="51"/>
    </row>
    <row r="143" spans="7:11" x14ac:dyDescent="0.25">
      <c r="G143" s="50"/>
      <c r="H143" s="52"/>
      <c r="I143" s="77"/>
      <c r="J143" s="51"/>
      <c r="K143" s="51"/>
    </row>
    <row r="144" spans="7:11" x14ac:dyDescent="0.25">
      <c r="G144" s="50"/>
      <c r="H144" s="52"/>
      <c r="I144" s="77"/>
      <c r="J144" s="51"/>
      <c r="K144" s="51"/>
    </row>
    <row r="145" spans="1:11" x14ac:dyDescent="0.25">
      <c r="A145" s="692"/>
      <c r="B145" s="692"/>
      <c r="D145" s="692"/>
      <c r="E145" s="692"/>
      <c r="F145" s="692"/>
      <c r="G145" s="50"/>
      <c r="H145" s="52"/>
      <c r="I145" s="77"/>
      <c r="J145" s="51"/>
      <c r="K145" s="51"/>
    </row>
    <row r="146" spans="1:11" x14ac:dyDescent="0.25">
      <c r="A146" s="692"/>
      <c r="B146" s="692"/>
      <c r="D146" s="692"/>
      <c r="E146" s="692"/>
      <c r="F146" s="692"/>
      <c r="G146" s="50"/>
      <c r="H146" s="52"/>
      <c r="I146" s="77"/>
      <c r="J146" s="51"/>
      <c r="K146" s="51"/>
    </row>
    <row r="147" spans="1:11" x14ac:dyDescent="0.25">
      <c r="A147" s="692"/>
      <c r="B147" s="692"/>
      <c r="D147" s="692"/>
      <c r="E147" s="692"/>
      <c r="F147" s="692"/>
      <c r="G147" s="50"/>
      <c r="H147" s="52"/>
      <c r="I147" s="77"/>
      <c r="J147" s="51"/>
      <c r="K147" s="51"/>
    </row>
    <row r="148" spans="1:11" x14ac:dyDescent="0.25">
      <c r="A148" s="692"/>
      <c r="B148" s="692"/>
      <c r="D148" s="692"/>
      <c r="E148" s="692"/>
      <c r="F148" s="692"/>
      <c r="G148" s="50"/>
      <c r="H148" s="52"/>
      <c r="I148" s="77"/>
      <c r="J148" s="51"/>
      <c r="K148" s="51"/>
    </row>
    <row r="149" spans="1:11" x14ac:dyDescent="0.25">
      <c r="A149" s="692"/>
      <c r="B149" s="692"/>
      <c r="D149" s="692"/>
      <c r="E149" s="692"/>
      <c r="F149" s="692"/>
      <c r="G149" s="50"/>
      <c r="H149" s="52"/>
      <c r="I149" s="77"/>
      <c r="J149" s="51"/>
      <c r="K149" s="51"/>
    </row>
    <row r="150" spans="1:11" x14ac:dyDescent="0.25">
      <c r="A150" s="692"/>
      <c r="B150" s="692"/>
      <c r="D150" s="692"/>
      <c r="E150" s="692"/>
      <c r="F150" s="692"/>
      <c r="G150" s="50"/>
      <c r="H150" s="52"/>
      <c r="I150" s="77"/>
      <c r="J150" s="51"/>
      <c r="K150" s="51"/>
    </row>
    <row r="151" spans="1:11" x14ac:dyDescent="0.25">
      <c r="A151" s="692"/>
      <c r="B151" s="692"/>
      <c r="D151" s="692"/>
      <c r="E151" s="692"/>
      <c r="F151" s="692"/>
      <c r="G151" s="50"/>
      <c r="H151" s="52"/>
      <c r="I151" s="77"/>
      <c r="J151" s="51"/>
      <c r="K151" s="51"/>
    </row>
    <row r="152" spans="1:11" x14ac:dyDescent="0.25">
      <c r="A152" s="692"/>
      <c r="B152" s="692"/>
      <c r="D152" s="692"/>
      <c r="E152" s="692"/>
      <c r="F152" s="692"/>
      <c r="G152" s="50"/>
      <c r="H152" s="52"/>
      <c r="I152" s="77"/>
      <c r="J152" s="51"/>
      <c r="K152" s="51"/>
    </row>
    <row r="153" spans="1:11" x14ac:dyDescent="0.25">
      <c r="A153" s="692"/>
      <c r="B153" s="692"/>
      <c r="D153" s="692"/>
      <c r="E153" s="692"/>
      <c r="F153" s="692"/>
      <c r="G153" s="50"/>
      <c r="H153" s="52"/>
      <c r="I153" s="77"/>
      <c r="J153" s="51"/>
      <c r="K153" s="51"/>
    </row>
    <row r="154" spans="1:11" x14ac:dyDescent="0.25">
      <c r="A154" s="692"/>
      <c r="B154" s="692"/>
      <c r="D154" s="692"/>
      <c r="E154" s="692"/>
      <c r="F154" s="692"/>
      <c r="G154" s="50"/>
      <c r="H154" s="52"/>
      <c r="I154" s="77"/>
      <c r="J154" s="51"/>
      <c r="K154" s="51"/>
    </row>
    <row r="155" spans="1:11" x14ac:dyDescent="0.25">
      <c r="A155" s="692"/>
      <c r="B155" s="692"/>
      <c r="D155" s="692"/>
      <c r="E155" s="692"/>
      <c r="F155" s="692"/>
      <c r="G155" s="50"/>
      <c r="H155" s="52"/>
      <c r="I155" s="77"/>
      <c r="J155" s="51"/>
      <c r="K155" s="51"/>
    </row>
    <row r="156" spans="1:11" x14ac:dyDescent="0.25">
      <c r="A156" s="692"/>
      <c r="B156" s="692"/>
      <c r="D156" s="692"/>
      <c r="E156" s="692"/>
      <c r="F156" s="692"/>
      <c r="G156" s="50"/>
      <c r="H156" s="52"/>
      <c r="I156" s="77"/>
      <c r="J156" s="51"/>
      <c r="K156" s="51"/>
    </row>
    <row r="157" spans="1:11" x14ac:dyDescent="0.25">
      <c r="A157" s="692"/>
      <c r="B157" s="692"/>
      <c r="D157" s="692"/>
      <c r="E157" s="692"/>
      <c r="F157" s="692"/>
      <c r="G157" s="50"/>
      <c r="H157" s="52"/>
      <c r="I157" s="77"/>
      <c r="J157" s="51"/>
      <c r="K157" s="51"/>
    </row>
    <row r="158" spans="1:11" x14ac:dyDescent="0.25">
      <c r="A158" s="692"/>
      <c r="B158" s="692"/>
      <c r="D158" s="692"/>
      <c r="E158" s="692"/>
      <c r="F158" s="692"/>
      <c r="G158" s="50"/>
      <c r="H158" s="52"/>
      <c r="I158" s="77"/>
      <c r="J158" s="51"/>
      <c r="K158" s="51"/>
    </row>
    <row r="159" spans="1:11" x14ac:dyDescent="0.25">
      <c r="A159" s="692"/>
      <c r="B159" s="692"/>
      <c r="D159" s="692"/>
      <c r="E159" s="692"/>
      <c r="F159" s="692"/>
      <c r="G159" s="50"/>
      <c r="H159" s="52"/>
      <c r="I159" s="77"/>
      <c r="J159" s="51"/>
      <c r="K159" s="51"/>
    </row>
    <row r="160" spans="1:11" x14ac:dyDescent="0.25">
      <c r="A160" s="692"/>
      <c r="B160" s="692"/>
      <c r="D160" s="692"/>
      <c r="E160" s="692"/>
      <c r="F160" s="692"/>
      <c r="G160" s="50"/>
      <c r="H160" s="52"/>
      <c r="I160" s="77"/>
      <c r="J160" s="51"/>
      <c r="K160" s="51"/>
    </row>
    <row r="161" spans="1:11" x14ac:dyDescent="0.25">
      <c r="A161" s="692"/>
      <c r="B161" s="692"/>
      <c r="D161" s="692"/>
      <c r="E161" s="692"/>
      <c r="F161" s="692"/>
      <c r="G161" s="50"/>
      <c r="H161" s="52"/>
      <c r="I161" s="77"/>
      <c r="J161" s="51"/>
      <c r="K161" s="51"/>
    </row>
    <row r="162" spans="1:11" x14ac:dyDescent="0.25">
      <c r="A162" s="692"/>
      <c r="B162" s="692"/>
      <c r="D162" s="692"/>
      <c r="E162" s="692"/>
      <c r="F162" s="692"/>
      <c r="G162" s="50"/>
      <c r="H162" s="52"/>
      <c r="I162" s="77"/>
      <c r="J162" s="51"/>
      <c r="K162" s="51"/>
    </row>
    <row r="163" spans="1:11" x14ac:dyDescent="0.25">
      <c r="A163" s="692"/>
      <c r="B163" s="692"/>
      <c r="D163" s="692"/>
      <c r="E163" s="692"/>
      <c r="F163" s="692"/>
      <c r="G163" s="50"/>
      <c r="H163" s="52"/>
      <c r="I163" s="77"/>
      <c r="J163" s="51"/>
      <c r="K163" s="51"/>
    </row>
    <row r="164" spans="1:11" s="692" customFormat="1" x14ac:dyDescent="0.25">
      <c r="C164" s="22"/>
      <c r="G164" s="50"/>
      <c r="H164" s="52"/>
      <c r="I164" s="77"/>
      <c r="J164" s="51"/>
      <c r="K164" s="51"/>
    </row>
    <row r="165" spans="1:11" x14ac:dyDescent="0.25">
      <c r="A165" s="692"/>
      <c r="B165" s="692"/>
      <c r="D165" s="692"/>
      <c r="E165" s="692"/>
      <c r="F165" s="692"/>
      <c r="G165" s="50"/>
      <c r="H165" s="52"/>
      <c r="I165" s="77"/>
      <c r="J165" s="51"/>
      <c r="K165" s="51"/>
    </row>
    <row r="166" spans="1:11" x14ac:dyDescent="0.25">
      <c r="A166" s="692"/>
      <c r="B166" s="692"/>
      <c r="D166" s="692"/>
      <c r="E166" s="692"/>
      <c r="F166" s="692"/>
      <c r="G166" s="50"/>
      <c r="H166" s="52"/>
      <c r="I166" s="77"/>
      <c r="J166" s="51"/>
      <c r="K166" s="51"/>
    </row>
    <row r="167" spans="1:11" x14ac:dyDescent="0.25">
      <c r="A167" s="692"/>
      <c r="B167" s="692"/>
      <c r="D167" s="692"/>
      <c r="E167" s="692"/>
      <c r="F167" s="692"/>
      <c r="G167" s="50"/>
      <c r="H167" s="52"/>
      <c r="I167" s="77"/>
      <c r="J167" s="51"/>
      <c r="K167" s="51"/>
    </row>
    <row r="168" spans="1:11" x14ac:dyDescent="0.25">
      <c r="A168" s="692"/>
      <c r="B168" s="692"/>
      <c r="D168" s="692"/>
      <c r="E168" s="692"/>
      <c r="F168" s="692"/>
      <c r="G168" s="50"/>
      <c r="H168" s="52"/>
      <c r="I168" s="77"/>
      <c r="J168" s="51"/>
      <c r="K168" s="51"/>
    </row>
    <row r="169" spans="1:11" x14ac:dyDescent="0.25">
      <c r="A169" s="692"/>
      <c r="B169" s="692"/>
      <c r="D169" s="692"/>
      <c r="E169" s="692"/>
      <c r="F169" s="692"/>
      <c r="G169" s="50"/>
      <c r="H169" s="52"/>
      <c r="I169" s="77"/>
      <c r="J169" s="51"/>
      <c r="K169" s="51"/>
    </row>
    <row r="170" spans="1:11" x14ac:dyDescent="0.25">
      <c r="A170" s="692"/>
      <c r="B170" s="692"/>
      <c r="D170" s="692"/>
      <c r="E170" s="692"/>
      <c r="F170" s="692"/>
      <c r="G170" s="50"/>
      <c r="H170" s="52"/>
      <c r="I170" s="77"/>
      <c r="J170" s="51"/>
      <c r="K170" s="51"/>
    </row>
    <row r="171" spans="1:11" x14ac:dyDescent="0.25">
      <c r="A171" s="692"/>
      <c r="B171" s="692"/>
      <c r="D171" s="692"/>
      <c r="E171" s="692"/>
      <c r="F171" s="692"/>
      <c r="G171" s="50"/>
      <c r="H171" s="52"/>
      <c r="I171" s="77"/>
      <c r="J171" s="51"/>
      <c r="K171" s="51"/>
    </row>
    <row r="172" spans="1:11" x14ac:dyDescent="0.25">
      <c r="A172" s="692"/>
      <c r="B172" s="692"/>
      <c r="D172" s="692"/>
      <c r="E172" s="692"/>
      <c r="F172" s="692"/>
      <c r="G172" s="50"/>
      <c r="H172" s="52"/>
      <c r="I172" s="77"/>
      <c r="J172" s="51"/>
      <c r="K172" s="51"/>
    </row>
    <row r="173" spans="1:11" x14ac:dyDescent="0.25">
      <c r="A173" s="692"/>
      <c r="B173" s="692"/>
      <c r="D173" s="692"/>
      <c r="E173" s="692"/>
      <c r="F173" s="692"/>
      <c r="G173" s="50"/>
      <c r="H173" s="52"/>
      <c r="I173" s="77"/>
      <c r="J173" s="51"/>
      <c r="K173" s="51"/>
    </row>
    <row r="174" spans="1:11" x14ac:dyDescent="0.25">
      <c r="A174" s="692"/>
      <c r="B174" s="692"/>
      <c r="D174" s="692"/>
      <c r="E174" s="692"/>
      <c r="F174" s="692"/>
      <c r="G174" s="50"/>
      <c r="H174" s="52"/>
      <c r="I174" s="77"/>
      <c r="J174" s="51"/>
      <c r="K174" s="51"/>
    </row>
    <row r="175" spans="1:11" x14ac:dyDescent="0.25">
      <c r="A175" s="692"/>
      <c r="B175" s="692"/>
      <c r="D175" s="692"/>
      <c r="E175" s="692"/>
      <c r="F175" s="692"/>
      <c r="G175" s="50"/>
      <c r="H175" s="52"/>
      <c r="I175" s="77"/>
      <c r="J175" s="51"/>
      <c r="K175" s="51"/>
    </row>
    <row r="176" spans="1:11" x14ac:dyDescent="0.25">
      <c r="A176" s="692"/>
      <c r="B176" s="692"/>
      <c r="D176" s="692"/>
      <c r="E176" s="692"/>
      <c r="F176" s="692"/>
      <c r="G176" s="50"/>
      <c r="H176" s="52"/>
      <c r="I176" s="77"/>
      <c r="J176" s="51"/>
      <c r="K176" s="51"/>
    </row>
    <row r="177" spans="7:11" x14ac:dyDescent="0.25">
      <c r="G177" s="50"/>
      <c r="H177" s="52"/>
      <c r="I177" s="77"/>
      <c r="J177" s="51"/>
      <c r="K177" s="51"/>
    </row>
    <row r="178" spans="7:11" x14ac:dyDescent="0.25">
      <c r="G178" s="50"/>
      <c r="H178" s="52"/>
      <c r="I178" s="77"/>
      <c r="J178" s="51"/>
      <c r="K178" s="51"/>
    </row>
    <row r="179" spans="7:11" x14ac:dyDescent="0.25">
      <c r="G179" s="50"/>
      <c r="H179" s="52"/>
      <c r="I179" s="77"/>
      <c r="J179" s="51"/>
      <c r="K179" s="51"/>
    </row>
    <row r="180" spans="7:11" x14ac:dyDescent="0.25">
      <c r="G180" s="50"/>
      <c r="H180" s="52"/>
      <c r="I180" s="77"/>
      <c r="J180" s="51"/>
      <c r="K180" s="51"/>
    </row>
    <row r="181" spans="7:11" x14ac:dyDescent="0.25">
      <c r="G181" s="50"/>
      <c r="H181" s="52"/>
      <c r="I181" s="77"/>
      <c r="J181" s="51"/>
      <c r="K181" s="51"/>
    </row>
    <row r="182" spans="7:11" x14ac:dyDescent="0.25">
      <c r="G182" s="50"/>
      <c r="H182" s="52"/>
      <c r="I182" s="77"/>
      <c r="J182" s="51"/>
      <c r="K182" s="51"/>
    </row>
    <row r="183" spans="7:11" x14ac:dyDescent="0.25">
      <c r="G183" s="50"/>
      <c r="H183" s="52"/>
      <c r="I183" s="77"/>
      <c r="J183" s="51"/>
      <c r="K183" s="51"/>
    </row>
    <row r="184" spans="7:11" x14ac:dyDescent="0.25">
      <c r="G184" s="50"/>
      <c r="H184" s="52"/>
      <c r="I184" s="77"/>
      <c r="J184" s="51"/>
      <c r="K184" s="51"/>
    </row>
    <row r="185" spans="7:11" x14ac:dyDescent="0.25">
      <c r="G185" s="50"/>
      <c r="H185" s="52"/>
      <c r="I185" s="77"/>
      <c r="J185" s="51"/>
      <c r="K185" s="51"/>
    </row>
    <row r="186" spans="7:11" x14ac:dyDescent="0.25">
      <c r="G186" s="50"/>
      <c r="H186" s="52"/>
      <c r="I186" s="77"/>
      <c r="J186" s="51"/>
      <c r="K186" s="51"/>
    </row>
    <row r="187" spans="7:11" x14ac:dyDescent="0.25">
      <c r="G187" s="50"/>
      <c r="H187" s="52"/>
      <c r="I187" s="77"/>
      <c r="J187" s="51"/>
      <c r="K187" s="51"/>
    </row>
    <row r="188" spans="7:11" x14ac:dyDescent="0.25">
      <c r="G188" s="50"/>
      <c r="H188" s="52"/>
      <c r="I188" s="77"/>
      <c r="J188" s="51"/>
      <c r="K188" s="51"/>
    </row>
    <row r="189" spans="7:11" x14ac:dyDescent="0.25">
      <c r="G189" s="80"/>
      <c r="H189" s="52"/>
      <c r="I189" s="77"/>
      <c r="J189" s="51"/>
      <c r="K189" s="51"/>
    </row>
    <row r="190" spans="7:11" x14ac:dyDescent="0.25">
      <c r="G190" s="50"/>
      <c r="H190" s="52"/>
      <c r="I190" s="77"/>
      <c r="J190" s="51"/>
      <c r="K190" s="51"/>
    </row>
    <row r="191" spans="7:11" x14ac:dyDescent="0.25">
      <c r="G191" s="50"/>
      <c r="H191" s="52"/>
      <c r="I191" s="77"/>
      <c r="J191" s="51"/>
      <c r="K191" s="51"/>
    </row>
    <row r="192" spans="7:11" x14ac:dyDescent="0.25">
      <c r="G192" s="50"/>
      <c r="H192" s="52"/>
      <c r="I192" s="79"/>
      <c r="J192" s="51"/>
      <c r="K192" s="51"/>
    </row>
    <row r="193" spans="7:11" x14ac:dyDescent="0.25">
      <c r="G193" s="50"/>
      <c r="H193" s="80"/>
      <c r="I193" s="81"/>
      <c r="J193" s="51"/>
      <c r="K193" s="51"/>
    </row>
    <row r="194" spans="7:11" x14ac:dyDescent="0.25">
      <c r="G194" s="50"/>
      <c r="H194" s="78"/>
      <c r="I194" s="77"/>
      <c r="J194" s="51"/>
      <c r="K194" s="51"/>
    </row>
    <row r="195" spans="7:11" x14ac:dyDescent="0.25">
      <c r="G195" s="50"/>
      <c r="H195" s="78"/>
      <c r="I195" s="77"/>
      <c r="J195" s="51"/>
      <c r="K195" s="51"/>
    </row>
    <row r="196" spans="7:11" x14ac:dyDescent="0.25">
      <c r="G196" s="50"/>
      <c r="H196" s="77"/>
      <c r="I196" s="78"/>
      <c r="J196" s="51"/>
      <c r="K196" s="51"/>
    </row>
    <row r="197" spans="7:11" x14ac:dyDescent="0.25">
      <c r="G197" s="50"/>
      <c r="H197" s="77"/>
      <c r="I197" s="78"/>
      <c r="J197" s="51"/>
      <c r="K197" s="51"/>
    </row>
    <row r="198" spans="7:11" x14ac:dyDescent="0.25">
      <c r="G198" s="50"/>
      <c r="H198" s="77"/>
      <c r="I198" s="78"/>
      <c r="J198" s="51"/>
      <c r="K198" s="51"/>
    </row>
    <row r="199" spans="7:11" x14ac:dyDescent="0.25">
      <c r="G199" s="50"/>
      <c r="H199" s="77"/>
      <c r="I199" s="78"/>
      <c r="J199" s="51"/>
      <c r="K199" s="51"/>
    </row>
    <row r="200" spans="7:11" x14ac:dyDescent="0.25">
      <c r="G200" s="53"/>
      <c r="H200" s="77"/>
      <c r="I200" s="78"/>
      <c r="J200" s="51"/>
      <c r="K200" s="51"/>
    </row>
    <row r="201" spans="7:11" x14ac:dyDescent="0.25">
      <c r="G201" s="692"/>
      <c r="H201" s="77"/>
      <c r="I201" s="78"/>
      <c r="J201" s="51"/>
      <c r="K201" s="51"/>
    </row>
    <row r="202" spans="7:11" x14ac:dyDescent="0.25">
      <c r="G202" s="692"/>
      <c r="H202" s="77"/>
      <c r="I202" s="78"/>
      <c r="J202" s="51"/>
      <c r="K202" s="51"/>
    </row>
    <row r="203" spans="7:11" x14ac:dyDescent="0.25">
      <c r="G203" s="692"/>
      <c r="H203" s="77"/>
      <c r="I203" s="78"/>
      <c r="J203" s="51"/>
      <c r="K203" s="51"/>
    </row>
    <row r="204" spans="7:11" x14ac:dyDescent="0.25">
      <c r="G204" s="692"/>
      <c r="H204" s="82"/>
      <c r="I204" s="82"/>
      <c r="J204" s="51"/>
      <c r="K204" s="51"/>
    </row>
    <row r="205" spans="7:11" x14ac:dyDescent="0.25">
      <c r="G205" s="692"/>
      <c r="H205" s="692"/>
      <c r="I205" s="692"/>
      <c r="J205" s="692"/>
      <c r="K205" s="692"/>
    </row>
    <row r="206" spans="7:11" x14ac:dyDescent="0.25">
      <c r="G206" s="14"/>
      <c r="H206" s="692"/>
      <c r="I206" s="692"/>
      <c r="J206" s="692"/>
      <c r="K206" s="692"/>
    </row>
    <row r="207" spans="7:11" x14ac:dyDescent="0.25">
      <c r="G207" s="14"/>
      <c r="H207" s="692"/>
      <c r="I207" s="692"/>
      <c r="J207" s="692"/>
      <c r="K207" s="692"/>
    </row>
    <row r="208" spans="7:11" x14ac:dyDescent="0.25">
      <c r="G208" s="14"/>
      <c r="H208" s="692"/>
      <c r="I208" s="692"/>
      <c r="J208" s="692"/>
      <c r="K208" s="692"/>
    </row>
    <row r="209" spans="7:11" x14ac:dyDescent="0.25">
      <c r="G209" s="14"/>
      <c r="H209" s="692"/>
      <c r="I209" s="692"/>
      <c r="J209" s="692"/>
      <c r="K209" s="692"/>
    </row>
    <row r="210" spans="7:11" x14ac:dyDescent="0.25">
      <c r="G210" s="14"/>
      <c r="H210" s="51"/>
      <c r="I210" s="14"/>
      <c r="J210" s="51"/>
      <c r="K210" s="51"/>
    </row>
    <row r="211" spans="7:11" x14ac:dyDescent="0.25">
      <c r="G211" s="14"/>
      <c r="H211" s="51"/>
      <c r="I211" s="14"/>
      <c r="J211" s="51"/>
      <c r="K211" s="51"/>
    </row>
    <row r="212" spans="7:11" x14ac:dyDescent="0.25">
      <c r="G212" s="14"/>
      <c r="H212" s="51"/>
      <c r="I212" s="14"/>
      <c r="J212" s="51"/>
      <c r="K212" s="51"/>
    </row>
    <row r="213" spans="7:11" x14ac:dyDescent="0.25">
      <c r="G213" s="14"/>
      <c r="H213" s="51"/>
      <c r="I213" s="14"/>
      <c r="J213" s="51"/>
      <c r="K213" s="51"/>
    </row>
    <row r="214" spans="7:11" x14ac:dyDescent="0.25">
      <c r="G214" s="14"/>
      <c r="H214" s="51"/>
      <c r="I214" s="51"/>
      <c r="J214" s="51"/>
      <c r="K214" s="51"/>
    </row>
    <row r="215" spans="7:11" x14ac:dyDescent="0.25">
      <c r="G215" s="14"/>
      <c r="H215" s="51"/>
      <c r="I215" s="51"/>
      <c r="J215" s="51"/>
      <c r="K215" s="51"/>
    </row>
    <row r="216" spans="7:11" x14ac:dyDescent="0.25">
      <c r="G216" s="14"/>
      <c r="H216" s="51"/>
      <c r="I216" s="51"/>
      <c r="J216" s="51"/>
      <c r="K216" s="51"/>
    </row>
    <row r="217" spans="7:11" x14ac:dyDescent="0.25">
      <c r="G217" s="51"/>
      <c r="H217" s="51"/>
      <c r="I217" s="51"/>
      <c r="J217" s="51"/>
      <c r="K217" s="51"/>
    </row>
    <row r="218" spans="7:11" x14ac:dyDescent="0.25">
      <c r="G218" s="692"/>
      <c r="H218" s="51"/>
      <c r="I218" s="51"/>
      <c r="J218" s="51"/>
      <c r="K218" s="51"/>
    </row>
    <row r="219" spans="7:11" x14ac:dyDescent="0.25">
      <c r="G219" s="692"/>
      <c r="H219" s="51"/>
      <c r="I219" s="51"/>
      <c r="J219" s="51"/>
      <c r="K219" s="51"/>
    </row>
    <row r="220" spans="7:11" x14ac:dyDescent="0.25">
      <c r="G220" s="692"/>
      <c r="H220" s="51"/>
      <c r="I220" s="51"/>
      <c r="J220" s="51"/>
      <c r="K220" s="51"/>
    </row>
    <row r="221" spans="7:11" x14ac:dyDescent="0.25">
      <c r="G221" s="692"/>
      <c r="H221" s="83"/>
      <c r="I221" s="51"/>
      <c r="J221" s="51"/>
      <c r="K221" s="51"/>
    </row>
    <row r="222" spans="7:11" x14ac:dyDescent="0.25">
      <c r="G222" s="692"/>
      <c r="H222" s="692"/>
      <c r="I222" s="692"/>
      <c r="J222" s="692"/>
      <c r="K222" s="692"/>
    </row>
    <row r="223" spans="7:11" x14ac:dyDescent="0.25">
      <c r="G223" s="692"/>
      <c r="H223" s="692"/>
      <c r="I223" s="692"/>
      <c r="J223" s="692"/>
      <c r="K223" s="692"/>
    </row>
    <row r="224" spans="7:11" x14ac:dyDescent="0.25">
      <c r="G224" s="692"/>
      <c r="H224" s="692"/>
      <c r="I224" s="692"/>
      <c r="J224" s="692"/>
      <c r="K224" s="692"/>
    </row>
    <row r="225" spans="7:11" x14ac:dyDescent="0.25">
      <c r="G225" s="692"/>
      <c r="H225" s="692"/>
      <c r="I225" s="692"/>
      <c r="J225" s="692"/>
      <c r="K225" s="692"/>
    </row>
    <row r="226" spans="7:11" x14ac:dyDescent="0.25">
      <c r="G226" s="692"/>
      <c r="H226" s="692"/>
      <c r="I226" s="692"/>
      <c r="J226" s="692"/>
      <c r="K226" s="692"/>
    </row>
    <row r="227" spans="7:11" x14ac:dyDescent="0.25">
      <c r="G227" s="692"/>
      <c r="H227" s="692"/>
      <c r="I227" s="692"/>
      <c r="J227" s="692"/>
      <c r="K227" s="692"/>
    </row>
    <row r="228" spans="7:11" x14ac:dyDescent="0.25">
      <c r="G228" s="119"/>
      <c r="H228" s="692"/>
      <c r="I228" s="692"/>
      <c r="J228" s="692"/>
      <c r="K228" s="692"/>
    </row>
    <row r="229" spans="7:11" x14ac:dyDescent="0.25">
      <c r="G229" s="51"/>
      <c r="H229" s="692"/>
      <c r="I229" s="692"/>
      <c r="J229" s="692"/>
      <c r="K229" s="692"/>
    </row>
    <row r="230" spans="7:11" x14ac:dyDescent="0.25">
      <c r="G230" s="51"/>
      <c r="H230" s="692"/>
      <c r="I230" s="692"/>
      <c r="J230" s="692"/>
      <c r="K230" s="692"/>
    </row>
    <row r="231" spans="7:11" x14ac:dyDescent="0.25">
      <c r="G231" s="51"/>
      <c r="H231" s="692"/>
      <c r="I231" s="692"/>
      <c r="J231" s="692"/>
      <c r="K231" s="692"/>
    </row>
    <row r="232" spans="7:11" x14ac:dyDescent="0.25">
      <c r="G232" s="51"/>
      <c r="H232" s="692"/>
      <c r="I232" s="692"/>
      <c r="J232" s="692"/>
      <c r="K232" s="692"/>
    </row>
    <row r="233" spans="7:11" x14ac:dyDescent="0.25">
      <c r="G233" s="51"/>
      <c r="H233" s="692"/>
      <c r="I233" s="692"/>
      <c r="J233" s="692"/>
      <c r="K233" s="692"/>
    </row>
    <row r="234" spans="7:11" x14ac:dyDescent="0.25">
      <c r="G234" s="51"/>
      <c r="H234" s="692"/>
      <c r="I234" s="692"/>
      <c r="J234" s="692"/>
      <c r="K234" s="692"/>
    </row>
    <row r="235" spans="7:11" x14ac:dyDescent="0.25">
      <c r="G235" s="51"/>
      <c r="H235" s="692"/>
      <c r="I235" s="692"/>
      <c r="J235" s="692"/>
      <c r="K235" s="692"/>
    </row>
    <row r="236" spans="7:11" x14ac:dyDescent="0.25">
      <c r="G236" s="51"/>
      <c r="H236" s="692"/>
      <c r="I236" s="692"/>
      <c r="J236" s="692"/>
      <c r="K236" s="692"/>
    </row>
    <row r="237" spans="7:11" x14ac:dyDescent="0.25">
      <c r="G237" s="51"/>
      <c r="H237" s="692"/>
      <c r="I237" s="692"/>
      <c r="J237" s="692"/>
      <c r="K237" s="692"/>
    </row>
    <row r="238" spans="7:11" x14ac:dyDescent="0.25">
      <c r="G238" s="51"/>
      <c r="H238" s="692"/>
      <c r="I238" s="692"/>
      <c r="J238" s="692"/>
      <c r="K238" s="692"/>
    </row>
    <row r="239" spans="7:11" x14ac:dyDescent="0.25">
      <c r="G239" s="51"/>
      <c r="H239" s="692"/>
      <c r="I239" s="692"/>
      <c r="J239" s="692"/>
      <c r="K239" s="692"/>
    </row>
    <row r="240" spans="7:11" x14ac:dyDescent="0.25">
      <c r="G240" s="51"/>
      <c r="H240" s="692"/>
      <c r="I240" s="692"/>
      <c r="J240" s="692"/>
      <c r="K240" s="692"/>
    </row>
    <row r="241" spans="7:7" x14ac:dyDescent="0.25">
      <c r="G241" s="51"/>
    </row>
    <row r="242" spans="7:7" x14ac:dyDescent="0.25">
      <c r="G242" s="51"/>
    </row>
    <row r="243" spans="7:7" x14ac:dyDescent="0.25">
      <c r="G243" s="51"/>
    </row>
    <row r="244" spans="7:7" x14ac:dyDescent="0.25">
      <c r="G244" s="51"/>
    </row>
    <row r="245" spans="7:7" x14ac:dyDescent="0.25">
      <c r="G245" s="692"/>
    </row>
    <row r="246" spans="7:7" x14ac:dyDescent="0.25">
      <c r="G246" s="692"/>
    </row>
    <row r="247" spans="7:7" x14ac:dyDescent="0.25">
      <c r="G247" s="692"/>
    </row>
    <row r="248" spans="7:7" x14ac:dyDescent="0.25">
      <c r="G248" s="692"/>
    </row>
    <row r="249" spans="7:7" x14ac:dyDescent="0.25">
      <c r="G249" s="692"/>
    </row>
    <row r="250" spans="7:7" x14ac:dyDescent="0.25">
      <c r="G250" s="692"/>
    </row>
    <row r="251" spans="7:7" x14ac:dyDescent="0.25">
      <c r="G251" s="692"/>
    </row>
    <row r="252" spans="7:7" x14ac:dyDescent="0.25">
      <c r="G252" s="692"/>
    </row>
    <row r="253" spans="7:7" x14ac:dyDescent="0.25">
      <c r="G253" s="692"/>
    </row>
    <row r="254" spans="7:7" x14ac:dyDescent="0.25">
      <c r="G254" s="692"/>
    </row>
    <row r="255" spans="7:7" x14ac:dyDescent="0.25">
      <c r="G255" s="44"/>
    </row>
    <row r="256" spans="7:7" x14ac:dyDescent="0.25">
      <c r="G256" s="44"/>
    </row>
    <row r="257" spans="7:7" x14ac:dyDescent="0.25">
      <c r="G257" s="692"/>
    </row>
    <row r="258" spans="7:7" x14ac:dyDescent="0.25">
      <c r="G258" s="692"/>
    </row>
    <row r="259" spans="7:7" x14ac:dyDescent="0.25">
      <c r="G259" s="692"/>
    </row>
    <row r="260" spans="7:7" x14ac:dyDescent="0.25">
      <c r="G260" s="692"/>
    </row>
    <row r="261" spans="7:7" x14ac:dyDescent="0.25">
      <c r="G261" s="692"/>
    </row>
  </sheetData>
  <hyperlinks>
    <hyperlink ref="F24" r:id="rId1" xr:uid="{ADF29F9E-4429-48DB-BD1E-1775DFF293EA}"/>
  </hyperlinks>
  <pageMargins left="0.7" right="0.7" top="0.75" bottom="0.75" header="0.3" footer="0.3"/>
  <pageSetup orientation="portrait"/>
  <drawing r:id="rId2"/>
  <legacy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134"/>
  <sheetViews>
    <sheetView showGridLines="0" topLeftCell="A18" zoomScale="85" zoomScaleNormal="85" workbookViewId="0">
      <selection activeCell="C29" sqref="C29"/>
    </sheetView>
  </sheetViews>
  <sheetFormatPr defaultColWidth="8.85546875" defaultRowHeight="15" x14ac:dyDescent="0.25"/>
  <cols>
    <col min="1" max="1" width="33.85546875" customWidth="1"/>
    <col min="2" max="2" width="46" customWidth="1"/>
    <col min="3" max="3" width="15" style="22" customWidth="1"/>
    <col min="4" max="4" width="16.140625" customWidth="1"/>
    <col min="5" max="5" width="16" customWidth="1"/>
    <col min="6" max="6" width="47.85546875" customWidth="1"/>
  </cols>
  <sheetData>
    <row r="1" spans="1:9" ht="59.25" customHeight="1" thickBot="1" x14ac:dyDescent="0.3">
      <c r="A1" s="470" t="s">
        <v>1389</v>
      </c>
      <c r="B1" s="471" t="s">
        <v>1390</v>
      </c>
      <c r="D1" s="692"/>
      <c r="E1" s="692"/>
      <c r="F1" s="692"/>
      <c r="G1" s="692"/>
      <c r="H1" s="692"/>
      <c r="I1" s="692"/>
    </row>
    <row r="2" spans="1:9" s="692" customFormat="1" ht="27.6" customHeight="1" thickBot="1" x14ac:dyDescent="0.3">
      <c r="A2" s="860" t="s">
        <v>289</v>
      </c>
      <c r="B2" s="19" t="s">
        <v>229</v>
      </c>
      <c r="C2" s="500" t="s">
        <v>232</v>
      </c>
      <c r="D2" s="19" t="s">
        <v>342</v>
      </c>
      <c r="E2" s="19" t="s">
        <v>1265</v>
      </c>
      <c r="F2" s="195" t="s">
        <v>344</v>
      </c>
    </row>
    <row r="3" spans="1:9" s="692" customFormat="1" ht="63.95" customHeight="1" thickBot="1" x14ac:dyDescent="0.3">
      <c r="A3" s="6" t="s">
        <v>1285</v>
      </c>
      <c r="B3" s="6" t="s">
        <v>1391</v>
      </c>
      <c r="C3" s="394" t="s">
        <v>399</v>
      </c>
      <c r="D3" s="1423"/>
      <c r="E3" s="35" t="str">
        <f>IF(C8="Yes","COMPLIANT","NOT COMPLIANT")</f>
        <v>COMPLIANT</v>
      </c>
      <c r="F3" s="686" t="s">
        <v>1392</v>
      </c>
    </row>
    <row r="4" spans="1:9" s="692" customFormat="1" ht="27.6" customHeight="1" thickBot="1" x14ac:dyDescent="0.3">
      <c r="A4" s="991" t="s">
        <v>1393</v>
      </c>
      <c r="B4" s="42" t="s">
        <v>229</v>
      </c>
      <c r="C4" s="492"/>
      <c r="D4" s="3"/>
      <c r="E4" s="3"/>
      <c r="F4" s="200"/>
    </row>
    <row r="5" spans="1:9" s="692" customFormat="1" ht="47.1" customHeight="1" thickBot="1" x14ac:dyDescent="0.35">
      <c r="A5" s="244"/>
      <c r="B5" s="36" t="s">
        <v>1123</v>
      </c>
      <c r="C5" s="536" t="str">
        <f>UPPER('Input Data'!E329)</f>
        <v>YES</v>
      </c>
      <c r="D5" s="47"/>
      <c r="E5" s="35"/>
      <c r="F5" s="35"/>
    </row>
    <row r="6" spans="1:9" s="692" customFormat="1" ht="27.6" customHeight="1" thickBot="1" x14ac:dyDescent="0.35">
      <c r="A6" s="244"/>
      <c r="B6" s="36" t="s">
        <v>1125</v>
      </c>
      <c r="C6" s="536" t="str">
        <f>UPPER('Input Data'!E330)</f>
        <v>YES</v>
      </c>
      <c r="D6" s="47"/>
      <c r="E6" s="35"/>
      <c r="F6" s="35"/>
    </row>
    <row r="7" spans="1:9" s="692" customFormat="1" ht="27.6" customHeight="1" thickBot="1" x14ac:dyDescent="0.35">
      <c r="A7" s="244"/>
      <c r="B7" s="36" t="s">
        <v>1394</v>
      </c>
      <c r="C7" s="35" t="str">
        <f>IF(C5="YES","indicator applies", "indicator doesn't apply")</f>
        <v>indicator applies</v>
      </c>
      <c r="D7" s="47"/>
      <c r="E7" s="35"/>
      <c r="F7" s="35"/>
    </row>
    <row r="8" spans="1:9" s="692" customFormat="1" ht="27.6" customHeight="1" thickBot="1" x14ac:dyDescent="0.3">
      <c r="A8" s="871" t="s">
        <v>330</v>
      </c>
      <c r="B8" s="131" t="s">
        <v>1391</v>
      </c>
      <c r="C8" s="722" t="str">
        <f>IF(AND(C6="YES", C7="indicator applies"), "Yes", "No")</f>
        <v>Yes</v>
      </c>
      <c r="D8" s="128"/>
      <c r="E8" s="128" t="str">
        <f>E3</f>
        <v>COMPLIANT</v>
      </c>
      <c r="F8" s="206"/>
    </row>
    <row r="9" spans="1:9" s="692" customFormat="1" ht="27.6" customHeight="1" thickBot="1" x14ac:dyDescent="0.3">
      <c r="A9" s="470"/>
      <c r="B9" s="471"/>
      <c r="C9" s="22"/>
    </row>
    <row r="10" spans="1:9" s="692" customFormat="1" ht="27.6" customHeight="1" thickBot="1" x14ac:dyDescent="0.3">
      <c r="A10" s="181" t="s">
        <v>302</v>
      </c>
      <c r="B10" s="19" t="s">
        <v>229</v>
      </c>
      <c r="C10" s="500" t="s">
        <v>232</v>
      </c>
      <c r="D10" s="19" t="s">
        <v>342</v>
      </c>
      <c r="E10" s="19" t="s">
        <v>1265</v>
      </c>
      <c r="F10" s="195" t="s">
        <v>344</v>
      </c>
    </row>
    <row r="11" spans="1:9" s="692" customFormat="1" ht="39.950000000000003" customHeight="1" thickBot="1" x14ac:dyDescent="0.3">
      <c r="A11" s="91" t="s">
        <v>1288</v>
      </c>
      <c r="B11" s="36" t="s">
        <v>1289</v>
      </c>
      <c r="C11" s="394" t="s">
        <v>399</v>
      </c>
      <c r="D11" s="1423"/>
      <c r="E11" s="1423"/>
      <c r="F11" s="199" t="s">
        <v>1290</v>
      </c>
    </row>
    <row r="12" spans="1:9" s="692" customFormat="1" ht="27.6" customHeight="1" thickBot="1" x14ac:dyDescent="0.3">
      <c r="A12" s="17" t="s">
        <v>1291</v>
      </c>
      <c r="B12" s="159" t="s">
        <v>229</v>
      </c>
      <c r="C12" s="492"/>
      <c r="D12" s="3"/>
      <c r="E12" s="3"/>
      <c r="F12" s="222"/>
    </row>
    <row r="13" spans="1:9" s="692" customFormat="1" ht="27.6" customHeight="1" thickBot="1" x14ac:dyDescent="0.3">
      <c r="A13" s="1325"/>
      <c r="B13" s="74"/>
      <c r="C13" s="501"/>
      <c r="D13" s="37"/>
      <c r="E13" s="37"/>
      <c r="F13" s="223"/>
    </row>
    <row r="14" spans="1:9" s="692" customFormat="1" ht="27.6" customHeight="1" thickBot="1" x14ac:dyDescent="0.3">
      <c r="A14" s="47"/>
      <c r="B14" s="47" t="s">
        <v>756</v>
      </c>
      <c r="C14" s="385" t="str">
        <f>'Input Data'!E331</f>
        <v>Yes</v>
      </c>
      <c r="D14" s="66"/>
      <c r="E14" s="679"/>
      <c r="F14" s="202"/>
    </row>
    <row r="15" spans="1:9" s="692" customFormat="1" ht="27.6" customHeight="1" thickBot="1" x14ac:dyDescent="0.3">
      <c r="A15" s="47"/>
      <c r="B15" s="36" t="s">
        <v>758</v>
      </c>
      <c r="C15" s="385" t="str">
        <f>'Input Data'!E332</f>
        <v>Yes</v>
      </c>
      <c r="D15" s="66"/>
      <c r="E15" s="679"/>
      <c r="F15" s="686"/>
    </row>
    <row r="16" spans="1:9" s="692" customFormat="1" ht="27.6" customHeight="1" thickBot="1" x14ac:dyDescent="0.3">
      <c r="A16" s="47"/>
      <c r="B16" s="36" t="s">
        <v>760</v>
      </c>
      <c r="C16" s="385" t="str">
        <f>'Input Data'!E333</f>
        <v>Yes</v>
      </c>
      <c r="D16" s="66"/>
      <c r="E16" s="679"/>
      <c r="F16" s="207"/>
    </row>
    <row r="17" spans="1:9" s="692" customFormat="1" ht="58.5" customHeight="1" thickBot="1" x14ac:dyDescent="0.3">
      <c r="A17" s="132" t="s">
        <v>301</v>
      </c>
      <c r="B17" s="137" t="s">
        <v>1289</v>
      </c>
      <c r="C17" s="722" t="str">
        <f>IF(AND(C14="YES",C15="YES",C16="YES"),"Yes","No")</f>
        <v>Yes</v>
      </c>
      <c r="D17" s="133"/>
      <c r="E17" s="16" t="str">
        <f>IF(C17="Yes", "COMPLIANT", "NOT COMPLIANT")</f>
        <v>COMPLIANT</v>
      </c>
      <c r="F17" s="206"/>
    </row>
    <row r="18" spans="1:9" s="692" customFormat="1" ht="27.6" customHeight="1" thickBot="1" x14ac:dyDescent="0.3">
      <c r="A18" s="470"/>
      <c r="B18" s="471"/>
      <c r="C18" s="22"/>
    </row>
    <row r="19" spans="1:9" s="692" customFormat="1" ht="27.6" customHeight="1" thickBot="1" x14ac:dyDescent="0.3">
      <c r="A19" s="181" t="s">
        <v>302</v>
      </c>
      <c r="B19" s="19" t="s">
        <v>229</v>
      </c>
      <c r="C19" s="378" t="s">
        <v>232</v>
      </c>
      <c r="D19" s="19" t="s">
        <v>342</v>
      </c>
      <c r="E19" s="19" t="s">
        <v>1265</v>
      </c>
      <c r="F19" s="270" t="s">
        <v>344</v>
      </c>
    </row>
    <row r="20" spans="1:9" s="692" customFormat="1" ht="27.6" customHeight="1" thickBot="1" x14ac:dyDescent="0.3">
      <c r="A20" s="36" t="s">
        <v>1288</v>
      </c>
      <c r="B20" s="260" t="s">
        <v>1293</v>
      </c>
      <c r="C20" s="417" t="s">
        <v>399</v>
      </c>
      <c r="D20" s="126" t="s">
        <v>400</v>
      </c>
      <c r="E20" s="122" t="str">
        <f>IF(C28="Yes","COMPLIANT","NOT COMPLIANT")</f>
        <v>COMPLIANT</v>
      </c>
      <c r="F20" s="354" t="s">
        <v>1294</v>
      </c>
    </row>
    <row r="21" spans="1:9" s="692" customFormat="1" ht="27.6" customHeight="1" thickBot="1" x14ac:dyDescent="0.3">
      <c r="A21" s="1322" t="s">
        <v>1295</v>
      </c>
      <c r="B21" s="268" t="s">
        <v>229</v>
      </c>
      <c r="C21" s="386">
        <f>'Input Data'!$E$8</f>
        <v>0</v>
      </c>
      <c r="D21" s="3"/>
      <c r="E21" s="3"/>
      <c r="F21" s="272"/>
    </row>
    <row r="22" spans="1:9" s="692" customFormat="1" ht="27.6" customHeight="1" thickBot="1" x14ac:dyDescent="0.3">
      <c r="A22" s="1325"/>
      <c r="B22" s="90"/>
      <c r="C22" s="501"/>
      <c r="D22" s="37"/>
      <c r="E22" s="37"/>
      <c r="F22" s="223"/>
    </row>
    <row r="23" spans="1:9" s="692" customFormat="1" ht="27.6" customHeight="1" thickBot="1" x14ac:dyDescent="0.3">
      <c r="A23" s="1325"/>
      <c r="B23" s="91" t="s">
        <v>763</v>
      </c>
      <c r="C23" s="116" t="str">
        <f>'Input Data'!$E$334</f>
        <v>Yes</v>
      </c>
      <c r="D23" s="37"/>
      <c r="E23" s="37"/>
      <c r="F23" s="1026"/>
    </row>
    <row r="24" spans="1:9" s="692" customFormat="1" ht="27.6" customHeight="1" thickBot="1" x14ac:dyDescent="0.3">
      <c r="A24" s="1325"/>
      <c r="B24" s="1027" t="s">
        <v>899</v>
      </c>
      <c r="C24" s="116" t="str">
        <f>'Input Data'!$E$335</f>
        <v>Yes</v>
      </c>
      <c r="D24" s="37"/>
      <c r="E24" s="37"/>
      <c r="F24" s="1026"/>
    </row>
    <row r="25" spans="1:9" s="692" customFormat="1" ht="27.6" customHeight="1" thickBot="1" x14ac:dyDescent="0.3">
      <c r="A25" s="1325"/>
      <c r="B25" s="91" t="s">
        <v>767</v>
      </c>
      <c r="C25" s="116" t="str">
        <f>'Input Data'!$E$336</f>
        <v>Yes</v>
      </c>
      <c r="D25" s="37"/>
      <c r="E25" s="37"/>
      <c r="F25" s="1026"/>
    </row>
    <row r="26" spans="1:9" s="692" customFormat="1" ht="27.6" customHeight="1" thickBot="1" x14ac:dyDescent="0.3">
      <c r="A26" s="1325"/>
      <c r="B26" s="91" t="s">
        <v>769</v>
      </c>
      <c r="C26" s="116" t="str">
        <f>'Input Data'!$E$337</f>
        <v>Yes</v>
      </c>
      <c r="D26" s="37"/>
      <c r="E26" s="37"/>
      <c r="F26" s="1026"/>
    </row>
    <row r="27" spans="1:9" s="692" customFormat="1" ht="27.6" customHeight="1" thickBot="1" x14ac:dyDescent="0.3">
      <c r="A27" s="1325"/>
      <c r="B27" s="74"/>
      <c r="C27" s="501"/>
      <c r="D27" s="37"/>
      <c r="E27" s="37"/>
      <c r="F27" s="1026"/>
    </row>
    <row r="28" spans="1:9" s="692" customFormat="1" ht="27.6" customHeight="1" thickBot="1" x14ac:dyDescent="0.3">
      <c r="A28" s="1208" t="s">
        <v>1296</v>
      </c>
      <c r="B28" s="274" t="s">
        <v>1293</v>
      </c>
      <c r="C28" s="722" t="str">
        <f>IF(AND(C23="YES",C24="YES",C25="YES", C26="Yes"),"Yes","No")</f>
        <v>Yes</v>
      </c>
      <c r="D28" s="128"/>
      <c r="E28" s="428" t="str">
        <f>E20</f>
        <v>COMPLIANT</v>
      </c>
      <c r="F28" s="273"/>
    </row>
    <row r="29" spans="1:9" ht="24" thickBot="1" x14ac:dyDescent="0.35">
      <c r="A29" s="470"/>
      <c r="B29" s="471"/>
      <c r="D29" s="692"/>
      <c r="E29" s="692"/>
      <c r="F29" s="692"/>
      <c r="G29" s="41"/>
      <c r="H29" s="41"/>
      <c r="I29" s="41"/>
    </row>
    <row r="30" spans="1:9" ht="16.5" thickBot="1" x14ac:dyDescent="0.35">
      <c r="A30" s="860" t="s">
        <v>302</v>
      </c>
      <c r="B30" s="861" t="s">
        <v>229</v>
      </c>
      <c r="C30" s="862" t="s">
        <v>232</v>
      </c>
      <c r="D30" s="861" t="s">
        <v>342</v>
      </c>
      <c r="E30" s="861" t="s">
        <v>1265</v>
      </c>
      <c r="F30" s="863" t="s">
        <v>344</v>
      </c>
      <c r="G30" s="41"/>
      <c r="H30" s="41"/>
      <c r="I30" s="41"/>
    </row>
    <row r="31" spans="1:9" ht="81.75" thickBot="1" x14ac:dyDescent="0.35">
      <c r="A31" s="26" t="s">
        <v>1288</v>
      </c>
      <c r="B31" s="28" t="s">
        <v>1395</v>
      </c>
      <c r="C31" s="864" t="s">
        <v>399</v>
      </c>
      <c r="D31" s="865" t="s">
        <v>400</v>
      </c>
      <c r="E31" s="865" t="str">
        <f>IF(C33="Yes","COMPLIANT","NOT COMPLIANT")</f>
        <v>COMPLIANT</v>
      </c>
      <c r="F31" s="354" t="s">
        <v>1396</v>
      </c>
      <c r="G31" s="41"/>
      <c r="H31" s="41"/>
      <c r="I31" s="41"/>
    </row>
    <row r="32" spans="1:9" ht="16.5" thickBot="1" x14ac:dyDescent="0.35">
      <c r="A32" s="866" t="s">
        <v>1397</v>
      </c>
      <c r="B32" s="867" t="s">
        <v>229</v>
      </c>
      <c r="C32" s="868">
        <f>'Input Data'!$E$8</f>
        <v>0</v>
      </c>
      <c r="D32" s="869"/>
      <c r="E32" s="869"/>
      <c r="F32" s="870"/>
      <c r="G32" s="41"/>
      <c r="H32" s="41"/>
      <c r="I32" s="41"/>
    </row>
    <row r="33" spans="1:9" ht="27.75" thickBot="1" x14ac:dyDescent="0.35">
      <c r="A33" s="871" t="s">
        <v>304</v>
      </c>
      <c r="B33" s="877" t="s">
        <v>1395</v>
      </c>
      <c r="C33" s="872" t="str">
        <f>IF(ISBLANK('Input Data'!$E$338), "", 'Input Data'!$E$338)</f>
        <v>Yes</v>
      </c>
      <c r="D33" s="873"/>
      <c r="E33" s="873" t="str">
        <f>E31</f>
        <v>COMPLIANT</v>
      </c>
      <c r="F33" s="874"/>
      <c r="G33" s="41"/>
      <c r="H33" s="41"/>
      <c r="I33" s="41"/>
    </row>
    <row r="34" spans="1:9" ht="24" thickBot="1" x14ac:dyDescent="0.35">
      <c r="A34" s="470"/>
      <c r="B34" s="471"/>
      <c r="D34" s="692"/>
      <c r="E34" s="692"/>
      <c r="F34" s="692"/>
      <c r="G34" s="41"/>
      <c r="H34" s="41"/>
      <c r="I34" s="41"/>
    </row>
    <row r="35" spans="1:9" ht="16.5" thickBot="1" x14ac:dyDescent="0.35">
      <c r="A35" s="1045" t="s">
        <v>302</v>
      </c>
      <c r="B35" s="19" t="s">
        <v>229</v>
      </c>
      <c r="C35" s="495" t="s">
        <v>232</v>
      </c>
      <c r="D35" s="19" t="s">
        <v>342</v>
      </c>
      <c r="E35" s="19" t="s">
        <v>1265</v>
      </c>
      <c r="F35" s="195" t="s">
        <v>344</v>
      </c>
      <c r="G35" s="41"/>
      <c r="H35" s="41"/>
      <c r="I35" s="41"/>
    </row>
    <row r="36" spans="1:9" ht="41.25" thickBot="1" x14ac:dyDescent="0.35">
      <c r="A36" s="6" t="s">
        <v>1288</v>
      </c>
      <c r="B36" s="6" t="s">
        <v>1398</v>
      </c>
      <c r="C36" s="496" t="e">
        <f>"&lt; "&amp;TEXT((C46*20+C48*30)/(C46+C48),"0.00")</f>
        <v>#DIV/0!</v>
      </c>
      <c r="D36" s="90" t="s">
        <v>1399</v>
      </c>
      <c r="E36" s="102"/>
      <c r="F36" s="218" t="s">
        <v>1400</v>
      </c>
      <c r="G36" s="41"/>
      <c r="H36" s="41"/>
      <c r="I36" s="41"/>
    </row>
    <row r="37" spans="1:9" ht="16.5" thickBot="1" x14ac:dyDescent="0.35">
      <c r="A37" s="1046" t="s">
        <v>1401</v>
      </c>
      <c r="B37" s="3" t="s">
        <v>229</v>
      </c>
      <c r="C37" s="492"/>
      <c r="D37" s="3"/>
      <c r="E37" s="3"/>
      <c r="F37" s="222"/>
      <c r="G37" s="252"/>
      <c r="H37" s="252"/>
      <c r="I37" s="252"/>
    </row>
    <row r="38" spans="1:9" ht="15.75" x14ac:dyDescent="0.3">
      <c r="A38" s="683"/>
      <c r="B38" s="100"/>
      <c r="C38" s="497"/>
      <c r="D38" s="100"/>
      <c r="E38" s="100"/>
      <c r="F38" s="199"/>
      <c r="G38" s="252"/>
      <c r="H38" s="252"/>
      <c r="I38" s="252"/>
    </row>
    <row r="39" spans="1:9" ht="27" x14ac:dyDescent="0.3">
      <c r="A39" s="91"/>
      <c r="B39" s="91" t="s">
        <v>1402</v>
      </c>
      <c r="C39" s="387" t="str">
        <f>IF(AND(C46=0,C48=0),"",(C46*20+C48*30)/(C46+C48))</f>
        <v/>
      </c>
      <c r="D39" s="91" t="s">
        <v>1399</v>
      </c>
      <c r="E39" s="90"/>
      <c r="F39" s="686" t="s">
        <v>1403</v>
      </c>
      <c r="G39" s="252"/>
      <c r="H39" s="252"/>
      <c r="I39" s="252"/>
    </row>
    <row r="40" spans="1:9" ht="26.1" customHeight="1" thickBot="1" x14ac:dyDescent="0.35">
      <c r="A40" s="91"/>
      <c r="B40" s="91"/>
      <c r="C40" s="387"/>
      <c r="D40" s="90"/>
      <c r="E40" s="90"/>
      <c r="F40" s="209"/>
      <c r="G40" s="252"/>
      <c r="H40" s="252"/>
      <c r="I40" s="252"/>
    </row>
    <row r="41" spans="1:9" ht="26.45" customHeight="1" thickBot="1" x14ac:dyDescent="0.35">
      <c r="A41" s="679"/>
      <c r="B41" s="679" t="s">
        <v>1404</v>
      </c>
      <c r="C41" s="385">
        <f>'Input Data'!$E$339</f>
        <v>0</v>
      </c>
      <c r="D41" s="679" t="s">
        <v>367</v>
      </c>
      <c r="E41" s="679"/>
      <c r="F41" s="202"/>
      <c r="G41" s="252"/>
      <c r="H41" s="252"/>
      <c r="I41" s="252"/>
    </row>
    <row r="42" spans="1:9" ht="16.5" thickBot="1" x14ac:dyDescent="0.35">
      <c r="A42" s="679"/>
      <c r="B42" s="679" t="s">
        <v>1138</v>
      </c>
      <c r="C42" s="385">
        <f>'Input Data'!$E$340</f>
        <v>0</v>
      </c>
      <c r="D42" s="679" t="s">
        <v>367</v>
      </c>
      <c r="E42" s="679"/>
      <c r="F42" s="202" t="s">
        <v>1405</v>
      </c>
      <c r="G42" s="41"/>
      <c r="H42" s="41"/>
      <c r="I42" s="41"/>
    </row>
    <row r="43" spans="1:9" ht="16.5" thickBot="1" x14ac:dyDescent="0.35">
      <c r="A43" s="679"/>
      <c r="B43" s="679" t="s">
        <v>1406</v>
      </c>
      <c r="C43" s="493">
        <f>SUM(C41:C42)</f>
        <v>0</v>
      </c>
      <c r="D43" s="679" t="s">
        <v>367</v>
      </c>
      <c r="E43" s="679"/>
      <c r="F43" s="202"/>
      <c r="G43" s="41"/>
      <c r="H43" s="41"/>
      <c r="I43" s="41"/>
    </row>
    <row r="44" spans="1:9" ht="27.75" thickBot="1" x14ac:dyDescent="0.35">
      <c r="A44" s="679"/>
      <c r="B44" s="679" t="s">
        <v>1141</v>
      </c>
      <c r="C44" s="385">
        <f>'Input Data'!$E$341</f>
        <v>0</v>
      </c>
      <c r="D44" s="679" t="s">
        <v>367</v>
      </c>
      <c r="E44" s="679"/>
      <c r="F44" s="199" t="s">
        <v>1407</v>
      </c>
      <c r="G44" s="41"/>
      <c r="H44" s="41"/>
      <c r="I44" s="41"/>
    </row>
    <row r="45" spans="1:9" ht="16.5" thickBot="1" x14ac:dyDescent="0.35">
      <c r="A45" s="679"/>
      <c r="B45" s="679" t="s">
        <v>1408</v>
      </c>
      <c r="C45" s="493">
        <f>C43-C44</f>
        <v>0</v>
      </c>
      <c r="D45" s="679" t="s">
        <v>367</v>
      </c>
      <c r="E45" s="8"/>
      <c r="F45" s="202"/>
      <c r="G45" s="41"/>
      <c r="H45" s="41"/>
      <c r="I45" s="41"/>
    </row>
    <row r="46" spans="1:9" ht="16.5" thickBot="1" x14ac:dyDescent="0.35">
      <c r="A46" s="679"/>
      <c r="B46" s="679" t="s">
        <v>1326</v>
      </c>
      <c r="C46" s="385">
        <f>'Input Data'!$E$16</f>
        <v>0</v>
      </c>
      <c r="D46" s="679" t="s">
        <v>367</v>
      </c>
      <c r="E46" s="679"/>
      <c r="F46" s="202"/>
      <c r="G46" s="252"/>
      <c r="H46" s="252"/>
      <c r="I46" s="252"/>
    </row>
    <row r="47" spans="1:9" ht="16.5" thickBot="1" x14ac:dyDescent="0.35">
      <c r="A47" s="679"/>
      <c r="B47" s="679" t="s">
        <v>1327</v>
      </c>
      <c r="C47" s="385">
        <f>'Input Data'!$E$17</f>
        <v>0</v>
      </c>
      <c r="D47" s="679" t="s">
        <v>428</v>
      </c>
      <c r="E47" s="679"/>
      <c r="F47" s="202"/>
      <c r="G47" s="252"/>
      <c r="H47" s="252"/>
      <c r="I47" s="252"/>
    </row>
    <row r="48" spans="1:9" ht="27.75" thickBot="1" x14ac:dyDescent="0.35">
      <c r="A48" s="679"/>
      <c r="B48" s="679" t="s">
        <v>1327</v>
      </c>
      <c r="C48" s="493">
        <f>0.791*C47</f>
        <v>0</v>
      </c>
      <c r="D48" s="679" t="s">
        <v>367</v>
      </c>
      <c r="E48" s="8"/>
      <c r="F48" s="197" t="s">
        <v>1409</v>
      </c>
      <c r="G48" s="252"/>
      <c r="H48" s="252"/>
      <c r="I48" s="252"/>
    </row>
    <row r="49" spans="1:9" ht="16.5" thickBot="1" x14ac:dyDescent="0.35">
      <c r="A49" s="679"/>
      <c r="B49" s="66" t="s">
        <v>1410</v>
      </c>
      <c r="C49" s="498">
        <f>'Input Data'!$E$18</f>
        <v>0</v>
      </c>
      <c r="D49" s="104" t="s">
        <v>367</v>
      </c>
      <c r="E49" s="8"/>
      <c r="F49" s="197"/>
      <c r="G49" s="252"/>
      <c r="H49" s="252"/>
      <c r="I49" s="252"/>
    </row>
    <row r="50" spans="1:9" ht="16.5" thickBot="1" x14ac:dyDescent="0.35">
      <c r="A50" s="679"/>
      <c r="B50" s="66" t="s">
        <v>1411</v>
      </c>
      <c r="C50" s="498">
        <f>'Input Data'!$E$19</f>
        <v>0</v>
      </c>
      <c r="D50" s="104" t="s">
        <v>390</v>
      </c>
      <c r="E50" s="8"/>
      <c r="F50" s="197"/>
      <c r="G50" s="252"/>
      <c r="H50" s="252"/>
      <c r="I50" s="252"/>
    </row>
    <row r="51" spans="1:9" ht="16.5" thickBot="1" x14ac:dyDescent="0.35">
      <c r="A51" s="679"/>
      <c r="B51" s="66" t="s">
        <v>1412</v>
      </c>
      <c r="C51" s="114">
        <f>C50/1000*0.84</f>
        <v>0</v>
      </c>
      <c r="D51" s="104" t="s">
        <v>367</v>
      </c>
      <c r="E51" s="8"/>
      <c r="F51" s="197" t="s">
        <v>1413</v>
      </c>
      <c r="G51" s="252"/>
      <c r="H51" s="252"/>
      <c r="I51" s="252"/>
    </row>
    <row r="52" spans="1:9" ht="16.5" thickBot="1" x14ac:dyDescent="0.35">
      <c r="A52" s="679"/>
      <c r="B52" s="66" t="s">
        <v>1414</v>
      </c>
      <c r="C52" s="498">
        <f>'Input Data'!$E$20</f>
        <v>0</v>
      </c>
      <c r="D52" s="104" t="s">
        <v>367</v>
      </c>
      <c r="E52" s="8"/>
      <c r="F52" s="197"/>
      <c r="G52" s="252"/>
      <c r="H52" s="252"/>
      <c r="I52" s="252"/>
    </row>
    <row r="53" spans="1:9" ht="16.5" thickBot="1" x14ac:dyDescent="0.35">
      <c r="A53" s="679"/>
      <c r="B53" s="66" t="s">
        <v>1415</v>
      </c>
      <c r="C53" s="498">
        <f>'Input Data'!$E$21</f>
        <v>0</v>
      </c>
      <c r="D53" s="104" t="s">
        <v>367</v>
      </c>
      <c r="E53" s="8"/>
      <c r="F53" s="197"/>
      <c r="G53" s="252"/>
      <c r="H53" s="252"/>
      <c r="I53" s="252"/>
    </row>
    <row r="54" spans="1:9" ht="15.75" x14ac:dyDescent="0.3">
      <c r="A54" s="679"/>
      <c r="B54" s="66" t="s">
        <v>1416</v>
      </c>
      <c r="C54" s="493">
        <f>C46+C48+C49+C51+C52+C53</f>
        <v>0</v>
      </c>
      <c r="D54" s="104" t="s">
        <v>367</v>
      </c>
      <c r="E54" s="8"/>
      <c r="F54" s="197"/>
      <c r="G54" s="252"/>
      <c r="H54" s="252"/>
      <c r="I54" s="252"/>
    </row>
    <row r="55" spans="1:9" ht="16.5" thickBot="1" x14ac:dyDescent="0.35">
      <c r="A55" s="679"/>
      <c r="B55" s="679"/>
      <c r="C55" s="493"/>
      <c r="D55" s="679"/>
      <c r="E55" s="8"/>
      <c r="F55" s="202"/>
      <c r="G55" s="252"/>
      <c r="H55" s="252"/>
      <c r="I55" s="252"/>
    </row>
    <row r="56" spans="1:9" ht="16.5" thickBot="1" x14ac:dyDescent="0.35">
      <c r="A56" s="873" t="s">
        <v>1417</v>
      </c>
      <c r="B56" s="137" t="s">
        <v>1418</v>
      </c>
      <c r="C56" s="499" t="e">
        <f>C45/C54</f>
        <v>#DIV/0!</v>
      </c>
      <c r="D56" s="132" t="s">
        <v>1399</v>
      </c>
      <c r="E56" s="16" t="str">
        <f>IF(C54=0,"",IF(C56&lt;C39,"COMPLIANT","NOT COMPLIANT"))</f>
        <v/>
      </c>
      <c r="F56" s="206"/>
      <c r="G56" s="252"/>
      <c r="H56" s="252"/>
      <c r="I56" s="252"/>
    </row>
    <row r="57" spans="1:9" ht="24" thickBot="1" x14ac:dyDescent="0.35">
      <c r="A57" s="470"/>
      <c r="B57" s="471"/>
      <c r="D57" s="692"/>
      <c r="E57" s="692"/>
      <c r="F57" s="692"/>
      <c r="G57" s="252"/>
      <c r="H57" s="252"/>
      <c r="I57" s="252"/>
    </row>
    <row r="58" spans="1:9" ht="16.5" thickBot="1" x14ac:dyDescent="0.35">
      <c r="A58" s="860" t="s">
        <v>302</v>
      </c>
      <c r="B58" s="19" t="s">
        <v>229</v>
      </c>
      <c r="C58" s="500" t="s">
        <v>232</v>
      </c>
      <c r="D58" s="19" t="s">
        <v>342</v>
      </c>
      <c r="E58" s="19" t="s">
        <v>1265</v>
      </c>
      <c r="F58" s="270" t="s">
        <v>344</v>
      </c>
      <c r="G58" s="252"/>
      <c r="H58" s="252"/>
      <c r="I58" s="252"/>
    </row>
    <row r="59" spans="1:9" ht="54.75" thickBot="1" x14ac:dyDescent="0.35">
      <c r="A59" s="6" t="s">
        <v>1288</v>
      </c>
      <c r="B59" s="260" t="s">
        <v>1419</v>
      </c>
      <c r="C59" s="1149" t="s">
        <v>1420</v>
      </c>
      <c r="D59" s="126" t="s">
        <v>1421</v>
      </c>
      <c r="E59" s="122"/>
      <c r="F59" s="271" t="s">
        <v>1422</v>
      </c>
      <c r="G59" s="252"/>
      <c r="H59" s="252"/>
      <c r="I59" s="252"/>
    </row>
    <row r="60" spans="1:9" ht="16.5" thickBot="1" x14ac:dyDescent="0.35">
      <c r="A60" s="866" t="s">
        <v>1423</v>
      </c>
      <c r="B60" s="268" t="s">
        <v>229</v>
      </c>
      <c r="C60" s="492"/>
      <c r="D60" s="3"/>
      <c r="E60" s="3"/>
      <c r="F60" s="272"/>
      <c r="G60" s="252"/>
      <c r="H60" s="252"/>
      <c r="I60" s="252"/>
    </row>
    <row r="61" spans="1:9" ht="16.5" thickBot="1" x14ac:dyDescent="0.35">
      <c r="A61" s="1147"/>
      <c r="B61" s="126"/>
      <c r="C61" s="1148"/>
      <c r="D61" s="37"/>
      <c r="E61" s="37"/>
      <c r="F61" s="311"/>
      <c r="G61" s="252"/>
      <c r="H61" s="252"/>
      <c r="I61" s="252"/>
    </row>
    <row r="62" spans="1:9" ht="16.5" thickBot="1" x14ac:dyDescent="0.35">
      <c r="A62" s="1147"/>
      <c r="B62" s="39" t="s">
        <v>1145</v>
      </c>
      <c r="C62" s="498" t="str">
        <f>IF(ISBLANK('Input Data'!E342), 0, 'Input Data'!E342)</f>
        <v>Yes</v>
      </c>
      <c r="D62" s="37"/>
      <c r="E62" s="37"/>
      <c r="F62" s="311"/>
      <c r="G62" s="252"/>
      <c r="H62" s="252"/>
      <c r="I62" s="252"/>
    </row>
    <row r="63" spans="1:9" ht="16.5" thickBot="1" x14ac:dyDescent="0.35">
      <c r="A63" s="1147"/>
      <c r="B63" s="39" t="s">
        <v>1147</v>
      </c>
      <c r="C63" s="498">
        <f>IF(ISBLANK('Input Data'!E343), 0, 'Input Data'!E343)</f>
        <v>0</v>
      </c>
      <c r="D63" s="104" t="s">
        <v>1148</v>
      </c>
      <c r="E63" s="37"/>
      <c r="F63" s="311"/>
      <c r="G63" s="252"/>
      <c r="H63" s="252"/>
      <c r="I63" s="252"/>
    </row>
    <row r="64" spans="1:9" ht="16.5" thickBot="1" x14ac:dyDescent="0.35">
      <c r="A64" s="1147"/>
      <c r="B64" s="39" t="s">
        <v>1150</v>
      </c>
      <c r="C64" s="498">
        <f>IF(ISBLANK('Input Data'!E344), 0, 'Input Data'!E344)</f>
        <v>0</v>
      </c>
      <c r="D64" s="683" t="s">
        <v>1151</v>
      </c>
      <c r="E64" s="37"/>
      <c r="F64" s="311"/>
      <c r="G64" s="252"/>
      <c r="H64" s="252"/>
      <c r="I64" s="252"/>
    </row>
    <row r="65" spans="1:9" ht="16.5" thickBot="1" x14ac:dyDescent="0.35">
      <c r="A65" s="1147"/>
      <c r="B65" s="39" t="s">
        <v>1153</v>
      </c>
      <c r="C65" s="498">
        <f>IF(ISBLANK('Input Data'!E345), 0, 'Input Data'!E345)</f>
        <v>0</v>
      </c>
      <c r="D65" s="683" t="s">
        <v>1151</v>
      </c>
      <c r="E65" s="37"/>
      <c r="F65" s="311"/>
      <c r="G65" s="252"/>
      <c r="H65" s="252"/>
      <c r="I65" s="252"/>
    </row>
    <row r="66" spans="1:9" ht="16.5" thickBot="1" x14ac:dyDescent="0.35">
      <c r="A66" s="1147"/>
      <c r="B66" s="39" t="s">
        <v>1141</v>
      </c>
      <c r="C66" s="498">
        <f>'Input Data'!E341</f>
        <v>0</v>
      </c>
      <c r="D66" s="104" t="s">
        <v>367</v>
      </c>
      <c r="E66" s="37"/>
      <c r="F66" s="311"/>
      <c r="G66" s="252"/>
      <c r="H66" s="252"/>
      <c r="I66" s="252"/>
    </row>
    <row r="67" spans="1:9" x14ac:dyDescent="0.25">
      <c r="A67" s="1147"/>
      <c r="B67" s="39" t="s">
        <v>1416</v>
      </c>
      <c r="C67" s="1213">
        <f>C54</f>
        <v>0</v>
      </c>
      <c r="D67" s="104" t="s">
        <v>367</v>
      </c>
      <c r="E67" s="37"/>
      <c r="F67" s="311"/>
      <c r="G67" s="692"/>
      <c r="H67" s="692"/>
      <c r="I67" s="692"/>
    </row>
    <row r="68" spans="1:9" x14ac:dyDescent="0.25">
      <c r="A68" s="1147"/>
      <c r="B68" s="39" t="s">
        <v>1424</v>
      </c>
      <c r="C68" s="1215" t="e">
        <f>C64*C66/1000/C67</f>
        <v>#DIV/0!</v>
      </c>
      <c r="D68" s="104" t="s">
        <v>1425</v>
      </c>
      <c r="E68" s="37"/>
      <c r="F68" s="311"/>
      <c r="G68" s="692"/>
      <c r="H68" s="692"/>
      <c r="I68" s="692"/>
    </row>
    <row r="69" spans="1:9" ht="15.75" thickBot="1" x14ac:dyDescent="0.3">
      <c r="A69" s="1147"/>
      <c r="B69" s="39" t="s">
        <v>1426</v>
      </c>
      <c r="C69" s="387" t="e">
        <f>C65*C66/1000/C67</f>
        <v>#DIV/0!</v>
      </c>
      <c r="D69" s="104" t="s">
        <v>1427</v>
      </c>
      <c r="E69" s="37"/>
      <c r="F69" s="311"/>
      <c r="G69" s="692"/>
      <c r="H69" s="692"/>
      <c r="I69" s="692"/>
    </row>
    <row r="70" spans="1:9" ht="15.75" thickBot="1" x14ac:dyDescent="0.3">
      <c r="A70" s="871" t="s">
        <v>332</v>
      </c>
      <c r="B70" s="128" t="s">
        <v>1419</v>
      </c>
      <c r="C70" s="536" t="e">
        <f>TEXT(C63,0)&amp;"/"&amp;TEXT(C68, 0)&amp;"/"&amp;TEXT(C69, 0)</f>
        <v>#DIV/0!</v>
      </c>
      <c r="D70" s="128" t="s">
        <v>1428</v>
      </c>
      <c r="E70" s="428" t="e">
        <f>IF(C62="No", "", IF(OR(C63&gt;2.5, C68&gt;1, C69&gt;0.25), "COMPLIANT", "NOT COMPLIANT"))</f>
        <v>#DIV/0!</v>
      </c>
      <c r="F70" s="273"/>
      <c r="G70" s="692"/>
      <c r="H70" s="692"/>
      <c r="I70" s="692"/>
    </row>
    <row r="71" spans="1:9" ht="16.5" thickBot="1" x14ac:dyDescent="0.35">
      <c r="A71" s="245"/>
      <c r="B71" s="245"/>
      <c r="C71" s="535"/>
      <c r="D71" s="245"/>
      <c r="E71" s="245"/>
      <c r="F71" s="245"/>
      <c r="G71" s="692"/>
      <c r="H71" s="692"/>
      <c r="I71" s="692"/>
    </row>
    <row r="72" spans="1:9" ht="15.75" thickBot="1" x14ac:dyDescent="0.3">
      <c r="A72" s="860" t="s">
        <v>313</v>
      </c>
      <c r="B72" s="19" t="s">
        <v>229</v>
      </c>
      <c r="C72" s="500" t="s">
        <v>232</v>
      </c>
      <c r="D72" s="19" t="s">
        <v>342</v>
      </c>
      <c r="E72" s="19" t="s">
        <v>1265</v>
      </c>
      <c r="F72" s="195" t="s">
        <v>344</v>
      </c>
      <c r="G72" s="692"/>
      <c r="H72" s="692"/>
      <c r="I72" s="692"/>
    </row>
    <row r="73" spans="1:9" ht="50.45" customHeight="1" thickBot="1" x14ac:dyDescent="0.3">
      <c r="A73" s="91" t="s">
        <v>1429</v>
      </c>
      <c r="B73" s="6" t="s">
        <v>1430</v>
      </c>
      <c r="C73" s="531">
        <v>100</v>
      </c>
      <c r="D73" s="1421" t="s">
        <v>210</v>
      </c>
      <c r="E73" s="96"/>
      <c r="F73" s="199"/>
      <c r="G73" s="692"/>
      <c r="H73" s="692"/>
      <c r="I73" s="692"/>
    </row>
    <row r="74" spans="1:9" ht="50.45" customHeight="1" thickBot="1" x14ac:dyDescent="0.3">
      <c r="A74" s="1006" t="s">
        <v>1431</v>
      </c>
      <c r="B74" s="156" t="s">
        <v>229</v>
      </c>
      <c r="C74" s="492"/>
      <c r="D74" s="9"/>
      <c r="E74" s="3"/>
      <c r="F74" s="222"/>
      <c r="G74" s="692"/>
      <c r="H74" s="692"/>
      <c r="I74" s="692"/>
    </row>
    <row r="75" spans="1:9" ht="50.45" customHeight="1" thickBot="1" x14ac:dyDescent="0.3">
      <c r="A75" s="98"/>
      <c r="B75" s="100"/>
      <c r="C75" s="501"/>
      <c r="D75" s="24"/>
      <c r="E75" s="37"/>
      <c r="F75" s="223"/>
      <c r="G75" s="692"/>
      <c r="H75" s="692"/>
      <c r="I75" s="692"/>
    </row>
    <row r="76" spans="1:9" ht="27.75" thickBot="1" x14ac:dyDescent="0.3">
      <c r="A76" s="98"/>
      <c r="B76" s="683" t="s">
        <v>807</v>
      </c>
      <c r="C76" s="1122">
        <f>'Input Data'!$E$346</f>
        <v>0</v>
      </c>
      <c r="D76" s="24" t="s">
        <v>210</v>
      </c>
      <c r="E76" s="37"/>
      <c r="F76" s="223"/>
      <c r="G76" s="692"/>
      <c r="H76" s="692"/>
      <c r="I76" s="692"/>
    </row>
    <row r="77" spans="1:9" s="692" customFormat="1" x14ac:dyDescent="0.25">
      <c r="A77" s="679"/>
      <c r="B77" s="100"/>
      <c r="C77" s="1028"/>
      <c r="D77" s="65"/>
      <c r="E77" s="679"/>
      <c r="F77" s="209"/>
    </row>
    <row r="78" spans="1:9" s="692" customFormat="1" ht="15.75" thickBot="1" x14ac:dyDescent="0.3">
      <c r="A78" s="679"/>
      <c r="B78" s="47"/>
      <c r="C78" s="394"/>
      <c r="D78" s="66"/>
      <c r="E78" s="679"/>
      <c r="F78" s="202"/>
    </row>
    <row r="79" spans="1:9" s="692" customFormat="1" ht="54.75" thickBot="1" x14ac:dyDescent="0.3">
      <c r="A79" s="1023" t="s">
        <v>312</v>
      </c>
      <c r="B79" s="157" t="s">
        <v>1430</v>
      </c>
      <c r="C79" s="1210">
        <f>C76</f>
        <v>0</v>
      </c>
      <c r="D79" s="133" t="s">
        <v>210</v>
      </c>
      <c r="E79" s="158" t="str">
        <f>IF(C79=100,"COMPLIANT","NOT COMPLIANT")</f>
        <v>NOT COMPLIANT</v>
      </c>
      <c r="F79" s="211"/>
    </row>
    <row r="80" spans="1:9" s="692" customFormat="1" ht="15.75" thickBot="1" x14ac:dyDescent="0.3">
      <c r="C80" s="21"/>
    </row>
    <row r="81" spans="1:9" s="692" customFormat="1" ht="15.75" thickBot="1" x14ac:dyDescent="0.3">
      <c r="A81" s="860" t="s">
        <v>313</v>
      </c>
      <c r="B81" s="19" t="s">
        <v>229</v>
      </c>
      <c r="C81" s="500" t="s">
        <v>232</v>
      </c>
      <c r="D81" s="19" t="s">
        <v>342</v>
      </c>
      <c r="E81" s="19" t="s">
        <v>1265</v>
      </c>
      <c r="F81" s="195" t="s">
        <v>344</v>
      </c>
    </row>
    <row r="82" spans="1:9" s="692" customFormat="1" ht="41.25" thickBot="1" x14ac:dyDescent="0.3">
      <c r="A82" s="91" t="s">
        <v>1429</v>
      </c>
      <c r="B82" s="6" t="s">
        <v>1432</v>
      </c>
      <c r="C82" s="531">
        <v>100</v>
      </c>
      <c r="D82" s="1421" t="s">
        <v>210</v>
      </c>
      <c r="E82" s="96"/>
      <c r="F82" s="199"/>
    </row>
    <row r="83" spans="1:9" s="692" customFormat="1" ht="15.75" thickBot="1" x14ac:dyDescent="0.3">
      <c r="A83" s="1006" t="s">
        <v>1433</v>
      </c>
      <c r="B83" s="156" t="s">
        <v>229</v>
      </c>
      <c r="C83" s="492"/>
      <c r="D83" s="9"/>
      <c r="E83" s="3"/>
      <c r="F83" s="222"/>
    </row>
    <row r="84" spans="1:9" s="692" customFormat="1" ht="15.75" thickBot="1" x14ac:dyDescent="0.3">
      <c r="A84" s="98"/>
      <c r="B84" s="100"/>
      <c r="C84" s="501"/>
      <c r="D84" s="24"/>
      <c r="E84" s="37"/>
      <c r="F84" s="223"/>
    </row>
    <row r="85" spans="1:9" s="692" customFormat="1" ht="27.75" thickBot="1" x14ac:dyDescent="0.3">
      <c r="A85" s="98"/>
      <c r="B85" s="683" t="s">
        <v>1156</v>
      </c>
      <c r="C85" s="532" t="str">
        <f>'Input Data'!$E$347</f>
        <v>Yes</v>
      </c>
      <c r="D85" s="24"/>
      <c r="E85" s="37"/>
      <c r="F85" s="223"/>
    </row>
    <row r="86" spans="1:9" ht="15.75" thickBot="1" x14ac:dyDescent="0.3">
      <c r="A86" s="679"/>
      <c r="B86" s="47"/>
      <c r="C86" s="394"/>
      <c r="D86" s="66"/>
      <c r="E86" s="679"/>
      <c r="F86" s="202"/>
      <c r="G86" s="692"/>
      <c r="H86" s="692"/>
      <c r="I86" s="692"/>
    </row>
    <row r="87" spans="1:9" ht="41.25" thickBot="1" x14ac:dyDescent="0.3">
      <c r="A87" s="1023" t="s">
        <v>314</v>
      </c>
      <c r="B87" s="157" t="s">
        <v>1432</v>
      </c>
      <c r="C87" s="530">
        <f>IF(C85="Yes",100,"No")</f>
        <v>100</v>
      </c>
      <c r="D87" s="133"/>
      <c r="E87" s="158" t="str">
        <f>IF(C87&gt;80,"COMPLIANT","NOT COMPLIANT")</f>
        <v>COMPLIANT</v>
      </c>
      <c r="F87" s="211"/>
      <c r="G87" s="692"/>
      <c r="H87" s="692"/>
      <c r="I87" s="692"/>
    </row>
    <row r="88" spans="1:9" s="692" customFormat="1" x14ac:dyDescent="0.25">
      <c r="C88" s="22"/>
    </row>
    <row r="89" spans="1:9" ht="36.950000000000003" customHeight="1" x14ac:dyDescent="0.3">
      <c r="A89" s="244"/>
      <c r="B89" s="692"/>
      <c r="D89" s="692"/>
      <c r="E89" s="692"/>
      <c r="F89" s="245"/>
      <c r="G89" s="692"/>
      <c r="H89" s="692"/>
      <c r="I89" s="692"/>
    </row>
    <row r="90" spans="1:9" x14ac:dyDescent="0.25">
      <c r="A90" s="34"/>
      <c r="B90" s="255"/>
      <c r="C90" s="533"/>
      <c r="D90" s="34"/>
      <c r="E90" s="33"/>
      <c r="F90" s="34"/>
      <c r="G90" s="692"/>
      <c r="H90" s="692"/>
      <c r="I90" s="692"/>
    </row>
    <row r="91" spans="1:9" ht="15.75" x14ac:dyDescent="0.3">
      <c r="A91" s="4" t="s">
        <v>201</v>
      </c>
      <c r="B91" s="188"/>
      <c r="C91" s="539"/>
      <c r="D91" s="247"/>
      <c r="E91" s="188"/>
      <c r="F91" s="245"/>
      <c r="G91" s="692"/>
      <c r="H91" s="692"/>
      <c r="I91" s="692"/>
    </row>
    <row r="92" spans="1:9" ht="15.75" x14ac:dyDescent="0.3">
      <c r="A92" s="4" t="s">
        <v>202</v>
      </c>
      <c r="B92" s="248"/>
      <c r="C92" s="539"/>
      <c r="D92" s="247"/>
      <c r="E92" s="188"/>
      <c r="F92" s="41"/>
      <c r="G92" s="692"/>
      <c r="H92" s="692"/>
      <c r="I92" s="692"/>
    </row>
    <row r="93" spans="1:9" ht="15.75" x14ac:dyDescent="0.3">
      <c r="A93" s="251"/>
      <c r="B93" s="4"/>
      <c r="C93" s="540"/>
      <c r="D93" s="247"/>
      <c r="E93" s="4"/>
      <c r="F93" s="41"/>
      <c r="G93" s="692"/>
      <c r="H93" s="692"/>
      <c r="I93" s="692"/>
    </row>
    <row r="94" spans="1:9" ht="15.75" x14ac:dyDescent="0.3">
      <c r="A94" s="41"/>
      <c r="B94" s="188"/>
      <c r="C94" s="539"/>
      <c r="D94" s="247"/>
      <c r="E94" s="188"/>
      <c r="F94" s="41"/>
      <c r="G94" s="692"/>
      <c r="H94" s="692"/>
      <c r="I94" s="692"/>
    </row>
    <row r="95" spans="1:9" ht="15.75" x14ac:dyDescent="0.3">
      <c r="A95" s="41"/>
      <c r="B95" s="248"/>
      <c r="C95" s="539"/>
      <c r="D95" s="247"/>
      <c r="E95" s="188"/>
      <c r="F95" s="41"/>
      <c r="G95" s="692"/>
      <c r="H95" s="692"/>
      <c r="I95" s="692"/>
    </row>
    <row r="96" spans="1:9" ht="15.75" x14ac:dyDescent="0.3">
      <c r="A96" s="41"/>
      <c r="B96" s="4"/>
      <c r="C96" s="540"/>
      <c r="D96" s="247"/>
      <c r="E96" s="4"/>
      <c r="F96" s="41"/>
      <c r="G96" s="692"/>
      <c r="H96" s="692"/>
      <c r="I96" s="692"/>
    </row>
    <row r="97" spans="1:9" ht="15.75" x14ac:dyDescent="0.3">
      <c r="A97" s="41"/>
      <c r="B97" s="188"/>
      <c r="C97" s="539"/>
      <c r="D97" s="247"/>
      <c r="E97" s="188"/>
      <c r="F97" s="41"/>
      <c r="G97" s="692"/>
      <c r="H97" s="692"/>
      <c r="I97" s="692"/>
    </row>
    <row r="98" spans="1:9" ht="15.75" x14ac:dyDescent="0.3">
      <c r="A98" s="251"/>
      <c r="B98" s="248"/>
      <c r="C98" s="540"/>
      <c r="D98" s="4"/>
      <c r="E98" s="4"/>
      <c r="F98" s="41"/>
      <c r="G98" s="692"/>
      <c r="H98" s="692"/>
      <c r="I98" s="692"/>
    </row>
    <row r="99" spans="1:9" ht="15.75" x14ac:dyDescent="0.3">
      <c r="A99" s="41"/>
      <c r="B99" s="41"/>
      <c r="C99" s="56"/>
      <c r="D99" s="41"/>
      <c r="E99" s="41"/>
      <c r="F99" s="41"/>
      <c r="G99" s="692"/>
      <c r="H99" s="692"/>
      <c r="I99" s="692"/>
    </row>
    <row r="100" spans="1:9" ht="15.75" x14ac:dyDescent="0.3">
      <c r="A100" s="41"/>
      <c r="B100" s="41"/>
      <c r="C100" s="56"/>
      <c r="D100" s="41"/>
      <c r="E100" s="41"/>
      <c r="F100" s="41"/>
      <c r="G100" s="692"/>
      <c r="H100" s="692"/>
      <c r="I100" s="692"/>
    </row>
    <row r="101" spans="1:9" ht="15.75" x14ac:dyDescent="0.3">
      <c r="A101" s="250"/>
      <c r="B101" s="41"/>
      <c r="C101" s="56"/>
      <c r="D101" s="41"/>
      <c r="E101" s="41"/>
      <c r="F101" s="41"/>
      <c r="G101" s="692"/>
      <c r="H101" s="692"/>
      <c r="I101" s="692"/>
    </row>
    <row r="102" spans="1:9" ht="15.75" x14ac:dyDescent="0.3">
      <c r="A102" s="41"/>
      <c r="B102" s="41"/>
      <c r="C102" s="56"/>
      <c r="D102" s="41"/>
      <c r="E102" s="41"/>
      <c r="F102" s="41"/>
      <c r="G102" s="692"/>
      <c r="H102" s="692"/>
      <c r="I102" s="692"/>
    </row>
    <row r="103" spans="1:9" ht="15.75" x14ac:dyDescent="0.3">
      <c r="A103" s="4"/>
      <c r="B103" s="4"/>
      <c r="C103" s="540"/>
      <c r="D103" s="4"/>
      <c r="E103" s="4"/>
      <c r="F103" s="4"/>
      <c r="G103" s="692"/>
      <c r="H103" s="692"/>
      <c r="I103" s="692"/>
    </row>
    <row r="104" spans="1:9" ht="15.75" x14ac:dyDescent="0.3">
      <c r="A104" s="246"/>
      <c r="B104" s="4"/>
      <c r="C104" s="540"/>
      <c r="D104" s="4"/>
      <c r="E104" s="4"/>
      <c r="F104" s="4"/>
      <c r="G104" s="692"/>
      <c r="H104" s="692"/>
      <c r="I104" s="692"/>
    </row>
    <row r="105" spans="1:9" ht="15.75" x14ac:dyDescent="0.3">
      <c r="A105" s="188"/>
      <c r="B105" s="188"/>
      <c r="C105" s="247"/>
      <c r="D105" s="188"/>
      <c r="E105" s="4"/>
      <c r="F105" s="4"/>
      <c r="G105" s="692"/>
      <c r="H105" s="692"/>
      <c r="I105" s="692"/>
    </row>
    <row r="106" spans="1:9" ht="15.75" x14ac:dyDescent="0.3">
      <c r="A106" s="188"/>
      <c r="B106" s="188"/>
      <c r="C106" s="247"/>
      <c r="D106" s="188"/>
      <c r="E106" s="4"/>
      <c r="F106" s="4"/>
      <c r="G106" s="692"/>
      <c r="H106" s="692"/>
      <c r="I106" s="692"/>
    </row>
    <row r="107" spans="1:9" ht="15.75" x14ac:dyDescent="0.3">
      <c r="A107" s="188"/>
      <c r="B107" s="188"/>
      <c r="C107" s="247"/>
      <c r="D107" s="188"/>
      <c r="E107" s="4"/>
      <c r="F107" s="4"/>
      <c r="G107" s="692"/>
      <c r="H107" s="692"/>
      <c r="I107" s="692"/>
    </row>
    <row r="108" spans="1:9" ht="15.75" x14ac:dyDescent="0.3">
      <c r="A108" s="188"/>
      <c r="B108" s="188"/>
      <c r="C108" s="247"/>
      <c r="D108" s="188"/>
      <c r="E108" s="4"/>
      <c r="F108" s="4"/>
      <c r="G108" s="692"/>
      <c r="H108" s="692"/>
      <c r="I108" s="692"/>
    </row>
    <row r="109" spans="1:9" ht="15.75" x14ac:dyDescent="0.3">
      <c r="A109" s="188"/>
      <c r="B109" s="188"/>
      <c r="C109" s="247"/>
      <c r="D109" s="188"/>
      <c r="E109" s="4"/>
      <c r="F109" s="4"/>
      <c r="G109" s="692"/>
      <c r="H109" s="692"/>
      <c r="I109" s="692"/>
    </row>
    <row r="110" spans="1:9" ht="15.75" x14ac:dyDescent="0.3">
      <c r="A110" s="188"/>
      <c r="B110" s="188"/>
      <c r="C110" s="539"/>
      <c r="D110" s="188"/>
      <c r="E110" s="4"/>
      <c r="F110" s="4"/>
      <c r="G110" s="692"/>
      <c r="H110" s="692"/>
      <c r="I110" s="692"/>
    </row>
    <row r="111" spans="1:9" ht="15.75" x14ac:dyDescent="0.3">
      <c r="A111" s="188"/>
      <c r="B111" s="188"/>
      <c r="C111" s="247"/>
      <c r="D111" s="188"/>
      <c r="E111" s="4"/>
      <c r="F111" s="4"/>
      <c r="G111" s="692"/>
      <c r="H111" s="692"/>
      <c r="I111" s="692"/>
    </row>
    <row r="112" spans="1:9" ht="15.75" x14ac:dyDescent="0.3">
      <c r="A112" s="4"/>
      <c r="B112" s="4"/>
      <c r="C112" s="540"/>
      <c r="D112" s="4"/>
      <c r="E112" s="4"/>
      <c r="F112" s="4"/>
      <c r="G112" s="692"/>
      <c r="H112" s="692"/>
      <c r="I112" s="692"/>
    </row>
    <row r="113" spans="1:9" ht="15.75" x14ac:dyDescent="0.3">
      <c r="A113" s="4"/>
      <c r="B113" s="4"/>
      <c r="C113" s="540"/>
      <c r="D113" s="4"/>
      <c r="E113" s="4"/>
      <c r="F113" s="4"/>
      <c r="G113" s="692"/>
      <c r="H113" s="692"/>
      <c r="I113" s="692"/>
    </row>
    <row r="114" spans="1:9" ht="15.75" x14ac:dyDescent="0.3">
      <c r="A114" s="188"/>
      <c r="B114" s="188"/>
      <c r="C114" s="247"/>
      <c r="D114" s="188"/>
      <c r="E114" s="4"/>
      <c r="F114" s="4"/>
      <c r="G114" s="692"/>
      <c r="H114" s="692"/>
      <c r="I114" s="692"/>
    </row>
    <row r="115" spans="1:9" ht="15.75" x14ac:dyDescent="0.3">
      <c r="A115" s="248"/>
      <c r="B115" s="188"/>
      <c r="C115" s="247"/>
      <c r="D115" s="188"/>
      <c r="E115" s="4"/>
      <c r="F115" s="4"/>
      <c r="G115" s="692"/>
      <c r="H115" s="692"/>
      <c r="I115" s="692"/>
    </row>
    <row r="116" spans="1:9" ht="15.75" x14ac:dyDescent="0.3">
      <c r="A116" s="4"/>
      <c r="B116" s="4"/>
      <c r="C116" s="247"/>
      <c r="D116" s="4"/>
      <c r="E116" s="4"/>
      <c r="F116" s="4"/>
      <c r="G116" s="692"/>
      <c r="H116" s="692"/>
      <c r="I116" s="692"/>
    </row>
    <row r="117" spans="1:9" x14ac:dyDescent="0.25">
      <c r="A117" s="692"/>
      <c r="B117" s="692"/>
      <c r="D117" s="692"/>
      <c r="E117" s="692"/>
      <c r="F117" s="692"/>
      <c r="G117" s="692"/>
      <c r="H117" s="692"/>
      <c r="I117" s="692"/>
    </row>
    <row r="118" spans="1:9" x14ac:dyDescent="0.25">
      <c r="A118" s="692"/>
      <c r="B118" s="692"/>
      <c r="D118" s="692"/>
      <c r="E118" s="692"/>
      <c r="F118" s="692"/>
      <c r="G118" s="692"/>
      <c r="H118" s="692"/>
      <c r="I118" s="692"/>
    </row>
    <row r="119" spans="1:9" x14ac:dyDescent="0.25">
      <c r="A119" s="692"/>
      <c r="B119" s="692"/>
      <c r="D119" s="692"/>
      <c r="E119" s="692"/>
      <c r="F119" s="692"/>
      <c r="G119" s="692"/>
      <c r="H119" s="692"/>
      <c r="I119" s="692"/>
    </row>
    <row r="120" spans="1:9" x14ac:dyDescent="0.25">
      <c r="A120" s="692"/>
      <c r="B120" s="692"/>
      <c r="D120" s="692"/>
      <c r="E120" s="692"/>
      <c r="F120" s="692"/>
      <c r="G120" s="692"/>
      <c r="H120" s="692"/>
      <c r="I120" s="692"/>
    </row>
    <row r="121" spans="1:9" x14ac:dyDescent="0.25">
      <c r="A121" s="692"/>
      <c r="B121" s="692"/>
      <c r="D121" s="692"/>
      <c r="E121" s="692"/>
      <c r="F121" s="692"/>
      <c r="G121" s="692"/>
      <c r="H121" s="692"/>
      <c r="I121" s="692"/>
    </row>
    <row r="122" spans="1:9" x14ac:dyDescent="0.25">
      <c r="A122" s="692"/>
      <c r="B122" s="692"/>
      <c r="D122" s="692"/>
      <c r="E122" s="692"/>
      <c r="F122" s="692"/>
      <c r="G122" s="692"/>
      <c r="H122" s="692"/>
      <c r="I122" s="692"/>
    </row>
    <row r="123" spans="1:9" x14ac:dyDescent="0.25">
      <c r="A123" s="692"/>
      <c r="B123" s="692"/>
      <c r="D123" s="692"/>
      <c r="E123" s="692"/>
      <c r="F123" s="692"/>
      <c r="G123" s="692"/>
      <c r="H123" s="692"/>
      <c r="I123" s="692"/>
    </row>
    <row r="124" spans="1:9" x14ac:dyDescent="0.25">
      <c r="A124" s="692"/>
      <c r="B124" s="692"/>
      <c r="D124" s="692"/>
      <c r="E124" s="692"/>
      <c r="F124" s="692"/>
      <c r="G124" s="692"/>
      <c r="H124" s="692"/>
      <c r="I124" s="692"/>
    </row>
    <row r="125" spans="1:9" x14ac:dyDescent="0.25">
      <c r="A125" s="692"/>
      <c r="B125" s="692"/>
      <c r="D125" s="692"/>
      <c r="E125" s="692"/>
      <c r="F125" s="692"/>
      <c r="G125" s="692"/>
      <c r="H125" s="692"/>
      <c r="I125" s="692"/>
    </row>
    <row r="126" spans="1:9" x14ac:dyDescent="0.25">
      <c r="A126" s="692"/>
      <c r="B126" s="692"/>
      <c r="D126" s="692"/>
      <c r="E126" s="692"/>
      <c r="F126" s="692"/>
      <c r="G126" s="692"/>
      <c r="H126" s="692"/>
      <c r="I126" s="692"/>
    </row>
    <row r="127" spans="1:9" x14ac:dyDescent="0.25">
      <c r="A127" s="692"/>
      <c r="B127" s="692"/>
      <c r="D127" s="692"/>
      <c r="E127" s="692"/>
      <c r="F127" s="692"/>
      <c r="G127" s="692"/>
      <c r="H127" s="692"/>
      <c r="I127" s="692"/>
    </row>
    <row r="128" spans="1:9" x14ac:dyDescent="0.25">
      <c r="A128" s="692"/>
      <c r="B128" s="692"/>
      <c r="D128" s="692"/>
      <c r="E128" s="692"/>
      <c r="F128" s="692"/>
      <c r="G128" s="692"/>
      <c r="H128" s="692"/>
      <c r="I128" s="692"/>
    </row>
    <row r="129" spans="7:9" x14ac:dyDescent="0.25">
      <c r="G129" s="692"/>
      <c r="H129" s="692"/>
      <c r="I129" s="692"/>
    </row>
    <row r="130" spans="7:9" x14ac:dyDescent="0.25">
      <c r="G130" s="692"/>
      <c r="H130" s="692"/>
      <c r="I130" s="692"/>
    </row>
    <row r="131" spans="7:9" x14ac:dyDescent="0.25">
      <c r="G131" s="692"/>
      <c r="H131" s="692"/>
      <c r="I131" s="692"/>
    </row>
    <row r="132" spans="7:9" x14ac:dyDescent="0.25">
      <c r="G132" s="692"/>
      <c r="H132" s="692"/>
      <c r="I132" s="692"/>
    </row>
    <row r="133" spans="7:9" x14ac:dyDescent="0.25">
      <c r="G133" s="692"/>
      <c r="H133" s="692"/>
      <c r="I133" s="692"/>
    </row>
    <row r="134" spans="7:9" x14ac:dyDescent="0.25">
      <c r="G134" s="692"/>
      <c r="H134" s="692"/>
      <c r="I134" s="692"/>
    </row>
  </sheetData>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K224"/>
  <sheetViews>
    <sheetView showGridLines="0" topLeftCell="A29" zoomScaleNormal="100" workbookViewId="0">
      <selection activeCell="C34" sqref="C34"/>
    </sheetView>
  </sheetViews>
  <sheetFormatPr defaultColWidth="8.85546875" defaultRowHeight="15" x14ac:dyDescent="0.25"/>
  <cols>
    <col min="1" max="1" width="32" customWidth="1"/>
    <col min="2" max="2" width="52.28515625" customWidth="1"/>
    <col min="3" max="3" width="13.7109375" style="22" customWidth="1"/>
    <col min="4" max="4" width="12.42578125" customWidth="1"/>
    <col min="5" max="5" width="13.85546875" customWidth="1"/>
    <col min="6" max="6" width="50.140625" customWidth="1"/>
  </cols>
  <sheetData>
    <row r="1" spans="1:9" s="727" customFormat="1" ht="68.25" customHeight="1" thickBot="1" x14ac:dyDescent="0.3">
      <c r="A1" s="726" t="s">
        <v>1389</v>
      </c>
      <c r="B1" s="471" t="s">
        <v>1390</v>
      </c>
      <c r="C1" s="22"/>
    </row>
    <row r="2" spans="1:9" s="692" customFormat="1" ht="16.5" thickBot="1" x14ac:dyDescent="0.35">
      <c r="A2" s="860" t="s">
        <v>289</v>
      </c>
      <c r="B2" s="19" t="s">
        <v>229</v>
      </c>
      <c r="C2" s="524" t="s">
        <v>232</v>
      </c>
      <c r="D2" s="19" t="s">
        <v>342</v>
      </c>
      <c r="E2" s="19" t="s">
        <v>1265</v>
      </c>
      <c r="F2" s="195" t="s">
        <v>344</v>
      </c>
      <c r="G2" s="252"/>
      <c r="H2" s="252"/>
      <c r="I2" s="252"/>
    </row>
    <row r="3" spans="1:9" s="692" customFormat="1" ht="41.25" thickBot="1" x14ac:dyDescent="0.35">
      <c r="A3" s="6" t="s">
        <v>1285</v>
      </c>
      <c r="B3" s="6" t="s">
        <v>1434</v>
      </c>
      <c r="C3" s="537" t="s">
        <v>399</v>
      </c>
      <c r="D3" s="1423"/>
      <c r="E3" s="35" t="str">
        <f>IF(C7="yes","COMPLIANT","NOT COMPLIANT")</f>
        <v>COMPLIANT</v>
      </c>
      <c r="F3" s="686"/>
      <c r="G3" s="252"/>
      <c r="H3" s="252"/>
      <c r="I3" s="252"/>
    </row>
    <row r="4" spans="1:9" s="692" customFormat="1" ht="16.5" thickBot="1" x14ac:dyDescent="0.35">
      <c r="A4" s="991" t="s">
        <v>1435</v>
      </c>
      <c r="B4" s="42" t="s">
        <v>229</v>
      </c>
      <c r="C4" s="492"/>
      <c r="D4" s="3"/>
      <c r="E4" s="3"/>
      <c r="F4" s="272"/>
      <c r="G4" s="252"/>
      <c r="H4" s="252"/>
      <c r="I4" s="252"/>
    </row>
    <row r="5" spans="1:9" s="692" customFormat="1" ht="16.5" thickBot="1" x14ac:dyDescent="0.35">
      <c r="A5" s="686"/>
      <c r="B5" s="47" t="s">
        <v>681</v>
      </c>
      <c r="C5" s="536" t="str">
        <f>'Input Data'!E124</f>
        <v>Yes</v>
      </c>
      <c r="D5" s="47"/>
      <c r="E5" s="686"/>
      <c r="F5" s="686"/>
      <c r="G5" s="252"/>
      <c r="H5" s="252"/>
      <c r="I5" s="252"/>
    </row>
    <row r="6" spans="1:9" s="692" customFormat="1" ht="16.5" thickBot="1" x14ac:dyDescent="0.35">
      <c r="A6" s="686"/>
      <c r="B6" s="47"/>
      <c r="C6" s="47"/>
      <c r="D6" s="47"/>
      <c r="E6" s="686"/>
      <c r="F6" s="686"/>
      <c r="G6" s="252"/>
      <c r="H6" s="252"/>
      <c r="I6" s="252"/>
    </row>
    <row r="7" spans="1:9" s="692" customFormat="1" ht="27.75" thickBot="1" x14ac:dyDescent="0.35">
      <c r="A7" s="873" t="s">
        <v>288</v>
      </c>
      <c r="B7" s="137" t="s">
        <v>1434</v>
      </c>
      <c r="C7" s="1240" t="str">
        <f>C5</f>
        <v>Yes</v>
      </c>
      <c r="D7" s="128"/>
      <c r="E7" s="16" t="str">
        <f>E3</f>
        <v>COMPLIANT</v>
      </c>
      <c r="F7" s="206"/>
      <c r="G7" s="252"/>
      <c r="H7" s="252"/>
      <c r="I7" s="252"/>
    </row>
    <row r="8" spans="1:9" s="692" customFormat="1" ht="16.5" thickBot="1" x14ac:dyDescent="0.35">
      <c r="A8" s="34"/>
      <c r="B8" s="291"/>
      <c r="C8" s="418"/>
      <c r="D8" s="292"/>
      <c r="F8" s="34"/>
      <c r="G8" s="252"/>
      <c r="H8" s="252"/>
      <c r="I8" s="252"/>
    </row>
    <row r="9" spans="1:9" s="692" customFormat="1" ht="16.5" thickBot="1" x14ac:dyDescent="0.35">
      <c r="A9" s="860" t="s">
        <v>289</v>
      </c>
      <c r="B9" s="19" t="s">
        <v>229</v>
      </c>
      <c r="C9" s="524" t="s">
        <v>232</v>
      </c>
      <c r="D9" s="19" t="s">
        <v>342</v>
      </c>
      <c r="E9" s="19" t="s">
        <v>1265</v>
      </c>
      <c r="F9" s="195" t="s">
        <v>344</v>
      </c>
      <c r="G9" s="252"/>
      <c r="H9" s="252"/>
      <c r="I9" s="252"/>
    </row>
    <row r="10" spans="1:9" s="692" customFormat="1" ht="41.25" thickBot="1" x14ac:dyDescent="0.35">
      <c r="A10" s="6" t="s">
        <v>1285</v>
      </c>
      <c r="B10" s="6" t="s">
        <v>1436</v>
      </c>
      <c r="C10" s="537" t="s">
        <v>399</v>
      </c>
      <c r="D10" s="1423"/>
      <c r="E10" s="35" t="str">
        <f>IF(C14="yes","COMPLIANT","NOT COMPLIANT")</f>
        <v>COMPLIANT</v>
      </c>
      <c r="F10" s="686"/>
      <c r="G10" s="252"/>
      <c r="H10" s="252"/>
      <c r="I10" s="252"/>
    </row>
    <row r="11" spans="1:9" s="692" customFormat="1" ht="16.5" thickBot="1" x14ac:dyDescent="0.35">
      <c r="A11" s="991" t="s">
        <v>1437</v>
      </c>
      <c r="B11" s="42" t="s">
        <v>229</v>
      </c>
      <c r="C11" s="492"/>
      <c r="D11" s="3"/>
      <c r="E11" s="3"/>
      <c r="F11" s="272"/>
      <c r="G11" s="252"/>
      <c r="H11" s="252"/>
      <c r="I11" s="252"/>
    </row>
    <row r="12" spans="1:9" s="692" customFormat="1" ht="16.5" thickBot="1" x14ac:dyDescent="0.35">
      <c r="A12" s="260"/>
      <c r="B12" s="47" t="s">
        <v>686</v>
      </c>
      <c r="C12" s="536" t="str">
        <f>LOWER('Input Data'!$E$126)</f>
        <v>yes</v>
      </c>
      <c r="D12" s="47"/>
      <c r="E12" s="260"/>
      <c r="F12" s="686"/>
      <c r="G12" s="252"/>
      <c r="H12" s="252"/>
      <c r="I12" s="252"/>
    </row>
    <row r="13" spans="1:9" s="692" customFormat="1" ht="16.5" thickBot="1" x14ac:dyDescent="0.35">
      <c r="A13" s="260"/>
      <c r="B13" s="47" t="s">
        <v>683</v>
      </c>
      <c r="C13" s="536" t="str">
        <f>LOWER('Input Data'!$E$125)</f>
        <v>yes</v>
      </c>
      <c r="D13" s="47"/>
      <c r="E13" s="1241"/>
      <c r="F13" s="686"/>
      <c r="G13" s="252"/>
      <c r="H13" s="252"/>
      <c r="I13" s="252"/>
    </row>
    <row r="14" spans="1:9" s="692" customFormat="1" ht="27.75" thickBot="1" x14ac:dyDescent="0.35">
      <c r="A14" s="873" t="s">
        <v>290</v>
      </c>
      <c r="B14" s="137" t="s">
        <v>1436</v>
      </c>
      <c r="C14" s="722" t="str">
        <f>IF(AND(C12="yes",C13="yes"),"Yes","No")</f>
        <v>Yes</v>
      </c>
      <c r="D14" s="128"/>
      <c r="E14" s="16" t="str">
        <f>$E$10</f>
        <v>COMPLIANT</v>
      </c>
      <c r="F14" s="206"/>
      <c r="G14" s="252"/>
      <c r="H14" s="252"/>
      <c r="I14" s="252"/>
    </row>
    <row r="15" spans="1:9" s="692" customFormat="1" ht="16.5" thickBot="1" x14ac:dyDescent="0.35">
      <c r="A15" s="34"/>
      <c r="B15" s="291"/>
      <c r="C15" s="418"/>
      <c r="D15" s="292"/>
      <c r="F15" s="34"/>
      <c r="G15" s="252"/>
      <c r="H15" s="252"/>
      <c r="I15" s="252"/>
    </row>
    <row r="16" spans="1:9" ht="16.5" thickBot="1" x14ac:dyDescent="0.35">
      <c r="A16" s="18" t="s">
        <v>289</v>
      </c>
      <c r="B16" s="19" t="s">
        <v>229</v>
      </c>
      <c r="C16" s="524" t="s">
        <v>232</v>
      </c>
      <c r="D16" s="19" t="s">
        <v>342</v>
      </c>
      <c r="E16" s="19" t="s">
        <v>1265</v>
      </c>
      <c r="F16" s="195" t="s">
        <v>344</v>
      </c>
      <c r="G16" s="41"/>
      <c r="H16" s="41"/>
      <c r="I16" s="41"/>
    </row>
    <row r="17" spans="1:9" ht="41.25" thickBot="1" x14ac:dyDescent="0.35">
      <c r="A17" s="6" t="s">
        <v>1285</v>
      </c>
      <c r="B17" s="6" t="s">
        <v>1438</v>
      </c>
      <c r="C17" s="537">
        <v>0</v>
      </c>
      <c r="D17" s="1423" t="s">
        <v>210</v>
      </c>
      <c r="E17" s="35"/>
      <c r="F17" s="686"/>
      <c r="G17" s="41"/>
      <c r="H17" s="41"/>
      <c r="I17" s="41"/>
    </row>
    <row r="18" spans="1:9" ht="16.5" thickBot="1" x14ac:dyDescent="0.35">
      <c r="A18" s="991" t="s">
        <v>1439</v>
      </c>
      <c r="B18" s="42" t="s">
        <v>229</v>
      </c>
      <c r="C18" s="492"/>
      <c r="D18" s="3"/>
      <c r="E18" s="3"/>
      <c r="F18" s="272"/>
      <c r="G18" s="41"/>
      <c r="H18" s="41"/>
      <c r="I18" s="41"/>
    </row>
    <row r="19" spans="1:9" ht="16.5" thickBot="1" x14ac:dyDescent="0.35">
      <c r="A19" s="260"/>
      <c r="B19" s="47" t="s">
        <v>583</v>
      </c>
      <c r="C19" s="536">
        <f>'Input Data'!$E$88</f>
        <v>0</v>
      </c>
      <c r="D19" s="47" t="s">
        <v>371</v>
      </c>
      <c r="E19" s="260"/>
      <c r="F19" s="686"/>
      <c r="G19" s="41"/>
      <c r="H19" s="41"/>
      <c r="I19" s="41"/>
    </row>
    <row r="20" spans="1:9" ht="16.5" thickBot="1" x14ac:dyDescent="0.35">
      <c r="A20" s="260"/>
      <c r="B20" s="47" t="s">
        <v>1440</v>
      </c>
      <c r="C20" s="536">
        <f>'Input Data'!$E$127</f>
        <v>0</v>
      </c>
      <c r="D20" s="47" t="s">
        <v>371</v>
      </c>
      <c r="E20" s="1241"/>
      <c r="F20" s="686"/>
      <c r="G20" s="41"/>
      <c r="H20" s="41"/>
      <c r="I20" s="41"/>
    </row>
    <row r="21" spans="1:9" ht="41.25" thickBot="1" x14ac:dyDescent="0.35">
      <c r="A21" s="873" t="s">
        <v>291</v>
      </c>
      <c r="B21" s="137" t="s">
        <v>1438</v>
      </c>
      <c r="C21" s="538">
        <f>IF(C19=0,0,C20/C19*100)</f>
        <v>0</v>
      </c>
      <c r="D21" s="128" t="s">
        <v>210</v>
      </c>
      <c r="E21" s="16" t="str">
        <f>IF(C21=0,"COMPLIANT","NOT COMPLIANT")</f>
        <v>COMPLIANT</v>
      </c>
      <c r="F21" s="206"/>
      <c r="G21" s="41"/>
      <c r="H21" s="41"/>
      <c r="I21" s="41"/>
    </row>
    <row r="22" spans="1:9" ht="16.5" thickBot="1" x14ac:dyDescent="0.35">
      <c r="A22" s="244"/>
      <c r="B22" s="4"/>
      <c r="C22" s="541"/>
      <c r="D22" s="4"/>
      <c r="E22" s="4"/>
      <c r="F22" s="245"/>
      <c r="G22" s="41"/>
      <c r="H22" s="41"/>
      <c r="I22" s="41"/>
    </row>
    <row r="23" spans="1:9" s="692" customFormat="1" ht="16.5" thickBot="1" x14ac:dyDescent="0.35">
      <c r="A23" s="18" t="s">
        <v>289</v>
      </c>
      <c r="B23" s="19" t="s">
        <v>229</v>
      </c>
      <c r="C23" s="524" t="s">
        <v>232</v>
      </c>
      <c r="D23" s="19" t="s">
        <v>342</v>
      </c>
      <c r="E23" s="19" t="s">
        <v>1265</v>
      </c>
      <c r="F23" s="195" t="s">
        <v>344</v>
      </c>
      <c r="G23" s="41"/>
      <c r="H23" s="41"/>
      <c r="I23" s="41"/>
    </row>
    <row r="24" spans="1:9" s="692" customFormat="1" ht="41.25" thickBot="1" x14ac:dyDescent="0.35">
      <c r="A24" s="6" t="s">
        <v>1285</v>
      </c>
      <c r="B24" s="6" t="s">
        <v>1286</v>
      </c>
      <c r="C24" s="537" t="s">
        <v>399</v>
      </c>
      <c r="D24" s="1423"/>
      <c r="E24" s="35" t="str">
        <f>IF(C29= "Yes","COMPLIANT","NOT COMPLIANT")</f>
        <v>NOT COMPLIANT</v>
      </c>
      <c r="F24" s="686"/>
      <c r="G24" s="41"/>
      <c r="H24" s="41"/>
      <c r="I24" s="41"/>
    </row>
    <row r="25" spans="1:9" s="692" customFormat="1" ht="16.5" thickBot="1" x14ac:dyDescent="0.35">
      <c r="A25" s="1209" t="s">
        <v>1287</v>
      </c>
      <c r="B25" s="42" t="s">
        <v>229</v>
      </c>
      <c r="C25" s="492"/>
      <c r="D25" s="3"/>
      <c r="E25" s="3"/>
      <c r="F25" s="272"/>
      <c r="G25" s="41"/>
      <c r="H25" s="41"/>
      <c r="I25" s="41"/>
    </row>
    <row r="26" spans="1:9" s="692" customFormat="1" ht="16.5" thickBot="1" x14ac:dyDescent="0.35">
      <c r="A26" s="260"/>
      <c r="B26" s="47" t="s">
        <v>693</v>
      </c>
      <c r="C26" s="536">
        <f>'Input Data'!$E$129</f>
        <v>0</v>
      </c>
      <c r="D26" s="47" t="s">
        <v>371</v>
      </c>
      <c r="E26" s="260"/>
      <c r="F26" s="686"/>
      <c r="G26" s="41"/>
      <c r="H26" s="41"/>
      <c r="I26" s="41"/>
    </row>
    <row r="27" spans="1:9" s="692" customFormat="1" ht="16.5" thickBot="1" x14ac:dyDescent="0.35">
      <c r="A27" s="260"/>
      <c r="B27" s="1323" t="s">
        <v>695</v>
      </c>
      <c r="C27" s="536">
        <f>'Input Data'!$E$130</f>
        <v>0</v>
      </c>
      <c r="D27" s="47" t="s">
        <v>371</v>
      </c>
      <c r="E27" s="260"/>
      <c r="F27" s="686"/>
      <c r="G27" s="41"/>
      <c r="H27" s="41"/>
      <c r="I27" s="41"/>
    </row>
    <row r="28" spans="1:9" s="692" customFormat="1" ht="16.5" thickBot="1" x14ac:dyDescent="0.35">
      <c r="A28" s="260"/>
      <c r="B28" s="47" t="s">
        <v>697</v>
      </c>
      <c r="C28" s="536">
        <f>'Input Data'!$E$131</f>
        <v>0</v>
      </c>
      <c r="D28" s="47" t="s">
        <v>371</v>
      </c>
      <c r="E28" s="1241"/>
      <c r="F28" s="686"/>
      <c r="G28" s="41"/>
      <c r="H28" s="41"/>
      <c r="I28" s="41"/>
    </row>
    <row r="29" spans="1:9" s="692" customFormat="1" ht="27.75" thickBot="1" x14ac:dyDescent="0.35">
      <c r="A29" s="132" t="s">
        <v>292</v>
      </c>
      <c r="B29" s="137" t="s">
        <v>1286</v>
      </c>
      <c r="C29" s="722" t="str">
        <f xml:space="preserve"> IF(C27 = 0,"",IF(OR(AND(C27&gt;0,C26&gt;=C27),C28=0),"Yes", "No"))</f>
        <v/>
      </c>
      <c r="D29" s="128"/>
      <c r="E29" s="16" t="str">
        <f>$E$24</f>
        <v>NOT COMPLIANT</v>
      </c>
      <c r="F29" s="206"/>
      <c r="G29" s="41"/>
      <c r="H29" s="41"/>
      <c r="I29" s="41"/>
    </row>
    <row r="30" spans="1:9" s="692" customFormat="1" ht="16.5" thickBot="1" x14ac:dyDescent="0.35">
      <c r="A30" s="244"/>
      <c r="B30" s="4"/>
      <c r="C30" s="541"/>
      <c r="D30" s="4"/>
      <c r="E30" s="4"/>
      <c r="F30" s="245"/>
      <c r="G30" s="41"/>
      <c r="H30" s="41"/>
      <c r="I30" s="41"/>
    </row>
    <row r="31" spans="1:9" s="692" customFormat="1" ht="16.5" thickBot="1" x14ac:dyDescent="0.35">
      <c r="A31" s="181" t="s">
        <v>289</v>
      </c>
      <c r="B31" s="19" t="s">
        <v>229</v>
      </c>
      <c r="C31" s="500" t="s">
        <v>232</v>
      </c>
      <c r="D31" s="19" t="s">
        <v>342</v>
      </c>
      <c r="E31" s="19" t="s">
        <v>1265</v>
      </c>
      <c r="F31" s="195" t="s">
        <v>344</v>
      </c>
      <c r="G31" s="41"/>
      <c r="H31" s="41"/>
      <c r="I31" s="41"/>
    </row>
    <row r="32" spans="1:9" s="692" customFormat="1" ht="41.25" thickBot="1" x14ac:dyDescent="0.35">
      <c r="A32" s="6" t="s">
        <v>1285</v>
      </c>
      <c r="B32" s="6" t="s">
        <v>1391</v>
      </c>
      <c r="C32" s="537" t="s">
        <v>399</v>
      </c>
      <c r="D32" s="1423"/>
      <c r="E32" s="35" t="e">
        <f>IF(AND(C39 = "indicator applies", C38 = "YES"),"COMPLIANT","NOT COMPLIANT")</f>
        <v>#DIV/0!</v>
      </c>
      <c r="F32" s="686" t="s">
        <v>1392</v>
      </c>
      <c r="G32" s="41"/>
      <c r="H32" s="41"/>
      <c r="I32" s="41"/>
    </row>
    <row r="33" spans="1:9" s="692" customFormat="1" ht="16.5" thickBot="1" x14ac:dyDescent="0.35">
      <c r="A33" s="1209" t="s">
        <v>1441</v>
      </c>
      <c r="B33" s="42" t="s">
        <v>229</v>
      </c>
      <c r="C33" s="492"/>
      <c r="D33" s="3"/>
      <c r="E33" s="3"/>
      <c r="F33" s="200"/>
      <c r="G33" s="41"/>
      <c r="H33" s="41"/>
      <c r="I33" s="41"/>
    </row>
    <row r="34" spans="1:9" s="692" customFormat="1" ht="41.25" thickBot="1" x14ac:dyDescent="0.35">
      <c r="A34" s="35"/>
      <c r="B34" s="36" t="s">
        <v>700</v>
      </c>
      <c r="C34" s="536" t="str">
        <f>UPPER('Input Data'!E132)</f>
        <v>YES</v>
      </c>
      <c r="D34" s="47"/>
      <c r="E34" s="35"/>
      <c r="F34" s="35"/>
      <c r="G34" s="41"/>
      <c r="H34" s="41"/>
      <c r="I34" s="41"/>
    </row>
    <row r="35" spans="1:9" s="692" customFormat="1" ht="16.5" thickBot="1" x14ac:dyDescent="0.35">
      <c r="A35" s="35"/>
      <c r="B35" s="36" t="s">
        <v>374</v>
      </c>
      <c r="C35" s="536">
        <f>'Input Data'!E14</f>
        <v>0</v>
      </c>
      <c r="D35" s="47"/>
      <c r="E35" s="35"/>
      <c r="F35" s="35"/>
      <c r="G35" s="41"/>
      <c r="H35" s="41"/>
      <c r="I35" s="41"/>
    </row>
    <row r="36" spans="1:9" s="692" customFormat="1" ht="16.5" thickBot="1" x14ac:dyDescent="0.35">
      <c r="A36" s="35"/>
      <c r="B36" s="36" t="s">
        <v>702</v>
      </c>
      <c r="C36" s="536">
        <f>'Input Data'!E133</f>
        <v>0</v>
      </c>
      <c r="D36" s="47" t="s">
        <v>371</v>
      </c>
      <c r="E36" s="35"/>
      <c r="F36" s="35"/>
      <c r="G36" s="41"/>
      <c r="H36" s="41"/>
      <c r="I36" s="41"/>
    </row>
    <row r="37" spans="1:9" s="692" customFormat="1" ht="16.5" thickBot="1" x14ac:dyDescent="0.35">
      <c r="A37" s="35"/>
      <c r="B37" s="36" t="s">
        <v>704</v>
      </c>
      <c r="C37" s="536">
        <f>'Input Data'!E134</f>
        <v>0</v>
      </c>
      <c r="D37" s="47" t="s">
        <v>371</v>
      </c>
      <c r="E37" s="35"/>
      <c r="F37" s="35"/>
      <c r="G37" s="41"/>
      <c r="H37" s="41"/>
      <c r="I37" s="41"/>
    </row>
    <row r="38" spans="1:9" s="692" customFormat="1" ht="16.5" thickBot="1" x14ac:dyDescent="0.35">
      <c r="A38" s="35"/>
      <c r="B38" s="36" t="s">
        <v>706</v>
      </c>
      <c r="C38" s="536" t="str">
        <f>UPPER('Input Data'!E135)</f>
        <v>YES</v>
      </c>
      <c r="D38" s="47"/>
      <c r="E38" s="35"/>
      <c r="F38" s="35"/>
      <c r="G38" s="41"/>
      <c r="H38" s="41"/>
      <c r="I38" s="41"/>
    </row>
    <row r="39" spans="1:9" s="692" customFormat="1" ht="16.5" thickBot="1" x14ac:dyDescent="0.35">
      <c r="A39" s="35"/>
      <c r="B39" s="36" t="s">
        <v>1394</v>
      </c>
      <c r="C39" s="408" t="e">
        <f>IF(OR(C36/C35&gt;0.05, C36&lt;1000),  "indicator applies", "indicator doesn't apply")</f>
        <v>#DIV/0!</v>
      </c>
      <c r="D39" s="47"/>
      <c r="E39" s="35"/>
      <c r="F39" s="35"/>
      <c r="G39" s="41"/>
      <c r="H39" s="41"/>
      <c r="I39" s="41"/>
    </row>
    <row r="40" spans="1:9" s="692" customFormat="1" ht="16.5" thickBot="1" x14ac:dyDescent="0.35">
      <c r="A40" s="1208" t="s">
        <v>293</v>
      </c>
      <c r="B40" s="128" t="s">
        <v>1391</v>
      </c>
      <c r="C40" s="722" t="e">
        <f>IF(AND(C38="YES", C39="indicator applies"), "Yes", "")</f>
        <v>#DIV/0!</v>
      </c>
      <c r="D40" s="128"/>
      <c r="E40" s="128" t="e">
        <f>$E$32</f>
        <v>#DIV/0!</v>
      </c>
      <c r="F40" s="206"/>
      <c r="G40" s="41"/>
      <c r="H40" s="41"/>
      <c r="I40" s="41"/>
    </row>
    <row r="41" spans="1:9" s="692" customFormat="1" ht="16.5" thickBot="1" x14ac:dyDescent="0.35">
      <c r="A41" s="244"/>
      <c r="B41" s="4"/>
      <c r="C41" s="541"/>
      <c r="D41" s="4"/>
      <c r="E41" s="4"/>
      <c r="F41" s="245"/>
      <c r="G41" s="41"/>
      <c r="H41" s="41"/>
      <c r="I41" s="41"/>
    </row>
    <row r="42" spans="1:9" s="692" customFormat="1" ht="16.5" thickBot="1" x14ac:dyDescent="0.35">
      <c r="A42" s="860" t="s">
        <v>295</v>
      </c>
      <c r="B42" s="19" t="s">
        <v>229</v>
      </c>
      <c r="C42" s="524" t="s">
        <v>232</v>
      </c>
      <c r="D42" s="19" t="s">
        <v>342</v>
      </c>
      <c r="E42" s="19" t="s">
        <v>1265</v>
      </c>
      <c r="F42" s="195" t="s">
        <v>344</v>
      </c>
      <c r="G42" s="41"/>
      <c r="H42" s="41"/>
      <c r="I42" s="41"/>
    </row>
    <row r="43" spans="1:9" s="692" customFormat="1" ht="41.25" thickBot="1" x14ac:dyDescent="0.35">
      <c r="A43" s="6" t="s">
        <v>1442</v>
      </c>
      <c r="B43" s="6" t="s">
        <v>1443</v>
      </c>
      <c r="C43" s="537" t="s">
        <v>399</v>
      </c>
      <c r="D43" s="1423"/>
      <c r="E43" s="35" t="str">
        <f>IF($C$45="Yes","COMPLIANT","NOT COMPLIANT")</f>
        <v>COMPLIANT</v>
      </c>
      <c r="F43" s="686"/>
      <c r="G43" s="41"/>
      <c r="H43" s="41"/>
      <c r="I43" s="41"/>
    </row>
    <row r="44" spans="1:9" s="692" customFormat="1" ht="16.5" thickBot="1" x14ac:dyDescent="0.35">
      <c r="A44" s="991" t="s">
        <v>1444</v>
      </c>
      <c r="B44" s="42" t="s">
        <v>229</v>
      </c>
      <c r="C44" s="492"/>
      <c r="D44" s="3"/>
      <c r="E44" s="3"/>
      <c r="F44" s="272"/>
      <c r="G44" s="41"/>
      <c r="H44" s="41"/>
      <c r="I44" s="41"/>
    </row>
    <row r="45" spans="1:9" s="692" customFormat="1" ht="16.5" thickBot="1" x14ac:dyDescent="0.35">
      <c r="A45" s="873" t="s">
        <v>294</v>
      </c>
      <c r="B45" s="137" t="s">
        <v>1443</v>
      </c>
      <c r="C45" s="536" t="str">
        <f>'Input Data'!$E$136</f>
        <v>Yes</v>
      </c>
      <c r="D45" s="128"/>
      <c r="E45" s="16" t="str">
        <f>$E$43</f>
        <v>COMPLIANT</v>
      </c>
      <c r="F45" s="206"/>
      <c r="G45" s="41"/>
      <c r="H45" s="41"/>
      <c r="I45" s="41"/>
    </row>
    <row r="46" spans="1:9" s="692" customFormat="1" ht="16.5" thickBot="1" x14ac:dyDescent="0.35">
      <c r="A46" s="244"/>
      <c r="B46" s="4"/>
      <c r="C46" s="541"/>
      <c r="D46" s="4"/>
      <c r="E46" s="4"/>
      <c r="F46" s="245"/>
      <c r="G46" s="41"/>
      <c r="H46" s="41"/>
      <c r="I46" s="41"/>
    </row>
    <row r="47" spans="1:9" s="692" customFormat="1" ht="16.5" thickBot="1" x14ac:dyDescent="0.35">
      <c r="A47" s="860" t="s">
        <v>295</v>
      </c>
      <c r="B47" s="19" t="s">
        <v>229</v>
      </c>
      <c r="C47" s="500" t="s">
        <v>232</v>
      </c>
      <c r="D47" s="19" t="s">
        <v>342</v>
      </c>
      <c r="E47" s="19" t="s">
        <v>1265</v>
      </c>
      <c r="F47" s="195" t="s">
        <v>344</v>
      </c>
      <c r="G47" s="41"/>
      <c r="H47" s="41"/>
      <c r="I47" s="41"/>
    </row>
    <row r="48" spans="1:9" s="692" customFormat="1" ht="41.25" thickBot="1" x14ac:dyDescent="0.35">
      <c r="A48" s="6" t="s">
        <v>1442</v>
      </c>
      <c r="B48" s="6" t="s">
        <v>1445</v>
      </c>
      <c r="C48" s="394" t="s">
        <v>399</v>
      </c>
      <c r="D48" s="1423"/>
      <c r="E48" s="35" t="str">
        <f>IF(C54="Yes","COMPLIANT","NOT COMPLIANT")</f>
        <v>COMPLIANT</v>
      </c>
      <c r="F48" s="686" t="s">
        <v>1392</v>
      </c>
      <c r="G48" s="41"/>
      <c r="H48" s="41"/>
      <c r="I48" s="41"/>
    </row>
    <row r="49" spans="1:9" s="692" customFormat="1" ht="16.5" thickBot="1" x14ac:dyDescent="0.35">
      <c r="A49" s="991" t="s">
        <v>1446</v>
      </c>
      <c r="B49" s="42" t="s">
        <v>229</v>
      </c>
      <c r="C49" s="492"/>
      <c r="D49" s="3"/>
      <c r="E49" s="3"/>
      <c r="F49" s="200"/>
      <c r="G49" s="41"/>
      <c r="H49" s="41"/>
      <c r="I49" s="41"/>
    </row>
    <row r="50" spans="1:9" s="692" customFormat="1" ht="16.5" thickBot="1" x14ac:dyDescent="0.35">
      <c r="A50" s="1324"/>
      <c r="B50" s="36" t="s">
        <v>712</v>
      </c>
      <c r="C50" s="536">
        <f>'Input Data'!E137</f>
        <v>0</v>
      </c>
      <c r="D50" s="47" t="s">
        <v>210</v>
      </c>
      <c r="E50" s="35"/>
      <c r="F50" s="35"/>
      <c r="G50" s="41"/>
      <c r="H50" s="41"/>
      <c r="I50" s="41"/>
    </row>
    <row r="51" spans="1:9" s="692" customFormat="1" ht="17.100000000000001" customHeight="1" thickBot="1" x14ac:dyDescent="0.35">
      <c r="A51" s="1324"/>
      <c r="B51" s="36" t="s">
        <v>1447</v>
      </c>
      <c r="C51" s="536">
        <f>'Input Data'!E138</f>
        <v>0</v>
      </c>
      <c r="D51" s="47" t="s">
        <v>210</v>
      </c>
      <c r="E51" s="35"/>
      <c r="F51" s="35"/>
      <c r="G51" s="41"/>
      <c r="H51" s="41"/>
      <c r="I51" s="41"/>
    </row>
    <row r="52" spans="1:9" s="692" customFormat="1" ht="16.5" thickBot="1" x14ac:dyDescent="0.35">
      <c r="A52" s="1324"/>
      <c r="B52" s="36" t="s">
        <v>1448</v>
      </c>
      <c r="C52" s="1022">
        <f>'Input Data'!E139</f>
        <v>0</v>
      </c>
      <c r="D52" s="47" t="s">
        <v>717</v>
      </c>
      <c r="E52" s="35"/>
      <c r="F52" s="35"/>
      <c r="G52" s="41"/>
      <c r="H52" s="41"/>
      <c r="I52" s="41"/>
    </row>
    <row r="53" spans="1:9" s="692" customFormat="1" ht="16.5" thickBot="1" x14ac:dyDescent="0.35">
      <c r="A53" s="1324"/>
      <c r="B53" s="36" t="s">
        <v>1449</v>
      </c>
      <c r="C53" s="536">
        <f>'Input Data'!E140</f>
        <v>0</v>
      </c>
      <c r="D53" s="47" t="s">
        <v>720</v>
      </c>
      <c r="E53" s="35"/>
      <c r="F53" s="35"/>
      <c r="G53" s="41"/>
      <c r="H53" s="41"/>
      <c r="I53" s="41"/>
    </row>
    <row r="54" spans="1:9" s="692" customFormat="1" ht="27.75" thickBot="1" x14ac:dyDescent="0.35">
      <c r="A54" s="871" t="s">
        <v>296</v>
      </c>
      <c r="B54" s="131" t="s">
        <v>1450</v>
      </c>
      <c r="C54" s="538" t="str">
        <f>IF(OR(ISBLANK(C50), ISBLANK(C51), ISBLANK(C52), ISBLANK(C53)), "No", "Yes")</f>
        <v>Yes</v>
      </c>
      <c r="D54" s="128"/>
      <c r="E54" s="128" t="str">
        <f>E48</f>
        <v>COMPLIANT</v>
      </c>
      <c r="F54" s="206"/>
      <c r="G54" s="41"/>
      <c r="H54" s="41"/>
      <c r="I54" s="41"/>
    </row>
    <row r="55" spans="1:9" s="692" customFormat="1" ht="16.5" thickBot="1" x14ac:dyDescent="0.35">
      <c r="A55" s="244"/>
      <c r="B55" s="4"/>
      <c r="C55" s="541"/>
      <c r="D55" s="4"/>
      <c r="E55" s="4"/>
      <c r="F55" s="245"/>
      <c r="G55" s="41"/>
      <c r="H55" s="41"/>
      <c r="I55" s="41"/>
    </row>
    <row r="56" spans="1:9" s="692" customFormat="1" ht="16.5" thickBot="1" x14ac:dyDescent="0.35">
      <c r="A56" s="860" t="s">
        <v>295</v>
      </c>
      <c r="B56" s="19" t="s">
        <v>229</v>
      </c>
      <c r="C56" s="500" t="s">
        <v>232</v>
      </c>
      <c r="D56" s="19" t="s">
        <v>342</v>
      </c>
      <c r="E56" s="19" t="s">
        <v>1265</v>
      </c>
      <c r="F56" s="195" t="s">
        <v>344</v>
      </c>
      <c r="G56" s="41"/>
      <c r="H56" s="41"/>
      <c r="I56" s="41"/>
    </row>
    <row r="57" spans="1:9" s="692" customFormat="1" ht="41.25" thickBot="1" x14ac:dyDescent="0.35">
      <c r="A57" s="6" t="s">
        <v>1442</v>
      </c>
      <c r="B57" s="6" t="s">
        <v>1451</v>
      </c>
      <c r="C57" s="394" t="s">
        <v>399</v>
      </c>
      <c r="D57" s="1423"/>
      <c r="E57" s="35" t="str">
        <f>IF(C60="Yes", "COMPLIANT", "NOT COMPLIANT")</f>
        <v>NOT COMPLIANT</v>
      </c>
      <c r="F57" s="686" t="s">
        <v>1392</v>
      </c>
      <c r="G57" s="41"/>
      <c r="H57" s="41"/>
      <c r="I57" s="41"/>
    </row>
    <row r="58" spans="1:9" s="692" customFormat="1" ht="16.5" thickBot="1" x14ac:dyDescent="0.35">
      <c r="A58" s="991" t="s">
        <v>1452</v>
      </c>
      <c r="B58" s="42" t="s">
        <v>229</v>
      </c>
      <c r="C58" s="492"/>
      <c r="D58" s="3"/>
      <c r="E58" s="3"/>
      <c r="F58" s="200"/>
      <c r="G58" s="41"/>
      <c r="H58" s="41"/>
      <c r="I58" s="41"/>
    </row>
    <row r="59" spans="1:9" s="692" customFormat="1" ht="16.5" thickBot="1" x14ac:dyDescent="0.35">
      <c r="A59" s="244"/>
      <c r="B59" s="36" t="s">
        <v>723</v>
      </c>
      <c r="C59" s="536">
        <f>IF('Input Data'!E141 = "", "", 'Input Data'!E141)</f>
        <v>0</v>
      </c>
      <c r="D59" s="47"/>
      <c r="E59" s="35"/>
      <c r="F59" s="35"/>
      <c r="G59" s="41"/>
      <c r="H59" s="41"/>
      <c r="I59" s="41"/>
    </row>
    <row r="60" spans="1:9" s="692" customFormat="1" ht="27.75" thickBot="1" x14ac:dyDescent="0.35">
      <c r="A60" s="871" t="s">
        <v>297</v>
      </c>
      <c r="B60" s="131" t="s">
        <v>1451</v>
      </c>
      <c r="C60" s="538">
        <f>C59</f>
        <v>0</v>
      </c>
      <c r="D60" s="128"/>
      <c r="E60" s="128" t="str">
        <f>$E$57</f>
        <v>NOT COMPLIANT</v>
      </c>
      <c r="F60" s="206"/>
      <c r="G60" s="41"/>
      <c r="H60" s="41"/>
      <c r="I60" s="41"/>
    </row>
    <row r="61" spans="1:9" s="692" customFormat="1" ht="16.5" thickBot="1" x14ac:dyDescent="0.35">
      <c r="A61" s="244"/>
      <c r="B61" s="4"/>
      <c r="C61" s="541"/>
      <c r="D61" s="4"/>
      <c r="E61" s="4"/>
      <c r="F61" s="245"/>
      <c r="G61" s="41"/>
      <c r="H61" s="41"/>
      <c r="I61" s="41"/>
    </row>
    <row r="62" spans="1:9" s="692" customFormat="1" ht="16.5" thickBot="1" x14ac:dyDescent="0.35">
      <c r="A62" s="18" t="s">
        <v>295</v>
      </c>
      <c r="B62" s="19" t="s">
        <v>229</v>
      </c>
      <c r="C62" s="500" t="s">
        <v>232</v>
      </c>
      <c r="D62" s="19" t="s">
        <v>342</v>
      </c>
      <c r="E62" s="19" t="s">
        <v>1265</v>
      </c>
      <c r="F62" s="195" t="s">
        <v>344</v>
      </c>
      <c r="G62" s="41"/>
      <c r="H62" s="41"/>
      <c r="I62" s="41"/>
    </row>
    <row r="63" spans="1:9" s="692" customFormat="1" ht="41.25" thickBot="1" x14ac:dyDescent="0.35">
      <c r="A63" s="6" t="s">
        <v>1442</v>
      </c>
      <c r="B63" s="293" t="s">
        <v>1453</v>
      </c>
      <c r="C63" s="542" t="s">
        <v>1454</v>
      </c>
      <c r="D63" s="1422"/>
      <c r="E63" s="265"/>
      <c r="F63" s="686"/>
      <c r="G63" s="41"/>
      <c r="H63" s="41"/>
      <c r="I63" s="41"/>
    </row>
    <row r="64" spans="1:9" s="692" customFormat="1" ht="16.5" thickBot="1" x14ac:dyDescent="0.35">
      <c r="A64" s="991" t="s">
        <v>1455</v>
      </c>
      <c r="B64" s="42" t="s">
        <v>229</v>
      </c>
      <c r="C64" s="492"/>
      <c r="D64" s="3"/>
      <c r="E64" s="3"/>
      <c r="F64" s="272"/>
      <c r="G64" s="41"/>
      <c r="H64" s="41"/>
      <c r="I64" s="41"/>
    </row>
    <row r="65" spans="1:9" s="692" customFormat="1" ht="16.5" thickBot="1" x14ac:dyDescent="0.35">
      <c r="A65" s="6"/>
      <c r="B65" s="290" t="s">
        <v>1456</v>
      </c>
      <c r="C65" s="536">
        <f>'Input Data'!E143</f>
        <v>0</v>
      </c>
      <c r="D65" s="1423" t="s">
        <v>667</v>
      </c>
      <c r="E65" s="35"/>
      <c r="F65" s="260"/>
      <c r="G65" s="41"/>
      <c r="H65" s="41"/>
      <c r="I65" s="41"/>
    </row>
    <row r="66" spans="1:9" s="692" customFormat="1" ht="16.5" thickBot="1" x14ac:dyDescent="0.35">
      <c r="A66" s="6"/>
      <c r="B66" s="290" t="s">
        <v>1457</v>
      </c>
      <c r="C66" s="536">
        <f>'Input Data'!E142</f>
        <v>0</v>
      </c>
      <c r="D66" s="1423" t="s">
        <v>667</v>
      </c>
      <c r="E66" s="35"/>
      <c r="F66" s="260"/>
      <c r="G66" s="41"/>
      <c r="H66" s="41"/>
      <c r="I66" s="41"/>
    </row>
    <row r="67" spans="1:9" s="692" customFormat="1" ht="16.5" thickBot="1" x14ac:dyDescent="0.35">
      <c r="A67" s="6"/>
      <c r="B67" s="290" t="s">
        <v>1458</v>
      </c>
      <c r="C67" s="536">
        <f>'Input Data'!E145</f>
        <v>0</v>
      </c>
      <c r="D67" s="1423" t="s">
        <v>667</v>
      </c>
      <c r="E67" s="35"/>
      <c r="F67" s="260"/>
      <c r="G67" s="41"/>
      <c r="H67" s="41"/>
      <c r="I67" s="41"/>
    </row>
    <row r="68" spans="1:9" s="692" customFormat="1" ht="16.5" thickBot="1" x14ac:dyDescent="0.35">
      <c r="A68" s="6"/>
      <c r="B68" s="290" t="s">
        <v>1459</v>
      </c>
      <c r="C68" s="536">
        <f>'Input Data'!E144</f>
        <v>0</v>
      </c>
      <c r="D68" s="1423" t="s">
        <v>667</v>
      </c>
      <c r="E68" s="35"/>
      <c r="F68" s="260"/>
      <c r="G68" s="41"/>
      <c r="H68" s="41"/>
      <c r="I68" s="41"/>
    </row>
    <row r="69" spans="1:9" s="692" customFormat="1" ht="16.5" thickBot="1" x14ac:dyDescent="0.35">
      <c r="A69" s="6"/>
      <c r="B69" s="290" t="s">
        <v>1460</v>
      </c>
      <c r="C69" s="536">
        <f>C67*0.436</f>
        <v>0</v>
      </c>
      <c r="D69" s="1423" t="s">
        <v>667</v>
      </c>
      <c r="E69" s="35"/>
      <c r="F69" s="260"/>
      <c r="G69" s="41"/>
      <c r="H69" s="41"/>
      <c r="I69" s="41"/>
    </row>
    <row r="70" spans="1:9" s="692" customFormat="1" ht="16.5" thickBot="1" x14ac:dyDescent="0.35">
      <c r="A70" s="6"/>
      <c r="B70" s="290" t="s">
        <v>1461</v>
      </c>
      <c r="C70" s="536">
        <f>C68*0.436</f>
        <v>0</v>
      </c>
      <c r="D70" s="1423" t="s">
        <v>667</v>
      </c>
      <c r="E70" s="35"/>
      <c r="F70" s="260"/>
      <c r="G70" s="41"/>
      <c r="H70" s="41"/>
      <c r="I70" s="41"/>
    </row>
    <row r="71" spans="1:9" s="692" customFormat="1" ht="16.5" thickBot="1" x14ac:dyDescent="0.35">
      <c r="A71" s="6"/>
      <c r="B71" s="290" t="s">
        <v>735</v>
      </c>
      <c r="C71" s="536">
        <f>'Input Data'!E146</f>
        <v>0</v>
      </c>
      <c r="D71" s="1423" t="s">
        <v>667</v>
      </c>
      <c r="E71" s="35"/>
      <c r="F71" s="260"/>
      <c r="G71" s="41"/>
      <c r="H71" s="41"/>
      <c r="I71" s="41"/>
    </row>
    <row r="72" spans="1:9" s="692" customFormat="1" ht="16.5" thickBot="1" x14ac:dyDescent="0.35">
      <c r="A72" s="6"/>
      <c r="B72" s="290" t="s">
        <v>737</v>
      </c>
      <c r="C72" s="536">
        <f>'Input Data'!E147</f>
        <v>0</v>
      </c>
      <c r="D72" s="1423" t="s">
        <v>667</v>
      </c>
      <c r="E72" s="35"/>
      <c r="F72" s="260"/>
      <c r="G72" s="41"/>
      <c r="H72" s="41"/>
      <c r="I72" s="41"/>
    </row>
    <row r="73" spans="1:9" s="692" customFormat="1" ht="16.5" thickBot="1" x14ac:dyDescent="0.35">
      <c r="A73" s="6"/>
      <c r="B73" s="290" t="s">
        <v>739</v>
      </c>
      <c r="C73" s="536">
        <f>'Input Data'!E148</f>
        <v>0</v>
      </c>
      <c r="D73" s="1423" t="s">
        <v>667</v>
      </c>
      <c r="E73" s="35"/>
      <c r="F73" s="260"/>
      <c r="G73" s="41"/>
      <c r="H73" s="41"/>
      <c r="I73" s="41"/>
    </row>
    <row r="74" spans="1:9" s="692" customFormat="1" ht="16.5" thickBot="1" x14ac:dyDescent="0.35">
      <c r="A74" s="6"/>
      <c r="B74" s="290" t="s">
        <v>741</v>
      </c>
      <c r="C74" s="536">
        <f>'Input Data'!E149</f>
        <v>0</v>
      </c>
      <c r="D74" s="1423" t="s">
        <v>667</v>
      </c>
      <c r="E74" s="35"/>
      <c r="F74" s="260"/>
      <c r="G74" s="41"/>
      <c r="H74" s="41"/>
      <c r="I74" s="41"/>
    </row>
    <row r="75" spans="1:9" s="692" customFormat="1" ht="16.5" thickBot="1" x14ac:dyDescent="0.35">
      <c r="A75" s="6"/>
      <c r="B75" s="290" t="s">
        <v>743</v>
      </c>
      <c r="C75" s="536">
        <f>'Input Data'!E150</f>
        <v>0</v>
      </c>
      <c r="D75" s="1423" t="s">
        <v>667</v>
      </c>
      <c r="E75" s="35"/>
      <c r="F75" s="260"/>
      <c r="G75" s="41"/>
      <c r="H75" s="41"/>
      <c r="I75" s="41"/>
    </row>
    <row r="76" spans="1:9" s="692" customFormat="1" ht="15.75" x14ac:dyDescent="0.3">
      <c r="A76" s="6"/>
      <c r="B76" s="290" t="s">
        <v>1462</v>
      </c>
      <c r="C76" s="1079">
        <f>IFERROR((C65+C73)/C66,0)</f>
        <v>0</v>
      </c>
      <c r="D76" s="1423"/>
      <c r="E76" s="35"/>
      <c r="F76" s="260"/>
      <c r="G76" s="41"/>
      <c r="H76" s="41"/>
      <c r="I76" s="41"/>
    </row>
    <row r="77" spans="1:9" s="692" customFormat="1" ht="15.75" x14ac:dyDescent="0.3">
      <c r="A77" s="6"/>
      <c r="B77" s="290" t="s">
        <v>1463</v>
      </c>
      <c r="C77" s="1079">
        <f>IFERROR((C69+C74)/C70,0)</f>
        <v>0</v>
      </c>
      <c r="D77" s="1423"/>
      <c r="E77" s="35"/>
      <c r="F77" s="260"/>
      <c r="G77" s="41"/>
      <c r="H77" s="41"/>
      <c r="I77" s="41"/>
    </row>
    <row r="78" spans="1:9" s="692" customFormat="1" ht="16.5" thickBot="1" x14ac:dyDescent="0.35">
      <c r="A78" s="6"/>
      <c r="B78" s="290" t="s">
        <v>1464</v>
      </c>
      <c r="C78" s="1079">
        <f>IFERROR((C72+C75)/C71,0)</f>
        <v>0</v>
      </c>
      <c r="D78" s="1423"/>
      <c r="E78" s="35"/>
      <c r="F78" s="260"/>
      <c r="G78" s="41"/>
      <c r="H78" s="41"/>
      <c r="I78" s="41"/>
    </row>
    <row r="79" spans="1:9" s="692" customFormat="1" ht="27.75" thickBot="1" x14ac:dyDescent="0.35">
      <c r="A79" s="871" t="s">
        <v>298</v>
      </c>
      <c r="B79" s="131" t="s">
        <v>1453</v>
      </c>
      <c r="C79" s="1080" t="str">
        <f>TEXT(C76,"0.00")&amp;"/"&amp;TEXT(C77,"0.00")&amp;"/"&amp;TEXT(C78,"0.00")</f>
        <v>0.00/0.00/0.00</v>
      </c>
      <c r="D79" s="428"/>
      <c r="E79" s="428" t="str">
        <f>IF(AND(C76&lt;1.1,C77&lt;1.1, C78&lt;1.1), "COMPLIANT","NOT COMPLIANT")</f>
        <v>COMPLIANT</v>
      </c>
      <c r="F79" s="273"/>
      <c r="G79" s="41"/>
      <c r="H79" s="41"/>
      <c r="I79" s="41"/>
    </row>
    <row r="80" spans="1:9" s="692" customFormat="1" ht="16.5" thickBot="1" x14ac:dyDescent="0.35">
      <c r="A80" s="244"/>
      <c r="B80" s="4"/>
      <c r="C80" s="541"/>
      <c r="D80" s="4"/>
      <c r="E80" s="4"/>
      <c r="F80" s="245"/>
      <c r="G80" s="41"/>
      <c r="H80" s="41"/>
      <c r="I80" s="41"/>
    </row>
    <row r="81" spans="1:9" s="692" customFormat="1" ht="16.5" thickBot="1" x14ac:dyDescent="0.35">
      <c r="A81" s="860" t="s">
        <v>295</v>
      </c>
      <c r="B81" s="19" t="s">
        <v>229</v>
      </c>
      <c r="C81" s="524" t="s">
        <v>232</v>
      </c>
      <c r="D81" s="19" t="s">
        <v>342</v>
      </c>
      <c r="E81" s="19" t="s">
        <v>1265</v>
      </c>
      <c r="F81" s="195" t="s">
        <v>344</v>
      </c>
      <c r="G81" s="41"/>
      <c r="H81" s="41"/>
      <c r="I81" s="41"/>
    </row>
    <row r="82" spans="1:9" s="692" customFormat="1" ht="41.25" thickBot="1" x14ac:dyDescent="0.35">
      <c r="A82" s="6" t="s">
        <v>1442</v>
      </c>
      <c r="B82" s="6" t="s">
        <v>1465</v>
      </c>
      <c r="C82" s="394" t="s">
        <v>399</v>
      </c>
      <c r="D82" s="1423"/>
      <c r="E82" s="35" t="str">
        <f>IF(C86="Yes","COMPLIANT","NOT COMPLIANT")</f>
        <v>COMPLIANT</v>
      </c>
      <c r="F82" s="686"/>
      <c r="G82" s="41"/>
      <c r="H82" s="41"/>
      <c r="I82" s="41"/>
    </row>
    <row r="83" spans="1:9" s="692" customFormat="1" ht="16.5" thickBot="1" x14ac:dyDescent="0.35">
      <c r="A83" s="991" t="s">
        <v>1466</v>
      </c>
      <c r="B83" s="42" t="s">
        <v>229</v>
      </c>
      <c r="C83" s="492"/>
      <c r="D83" s="3"/>
      <c r="E83" s="3"/>
      <c r="F83" s="272"/>
      <c r="G83" s="41"/>
      <c r="H83" s="41"/>
      <c r="I83" s="41"/>
    </row>
    <row r="84" spans="1:9" s="692" customFormat="1" ht="27.75" thickBot="1" x14ac:dyDescent="0.35">
      <c r="A84" s="36"/>
      <c r="B84" s="36" t="s">
        <v>746</v>
      </c>
      <c r="C84" s="536">
        <f>IF('Input Data'!E151 = "", "", 'Input Data'!E151)</f>
        <v>0</v>
      </c>
      <c r="D84" s="47" t="s">
        <v>371</v>
      </c>
      <c r="E84" s="36"/>
      <c r="F84" s="36"/>
      <c r="G84" s="41"/>
      <c r="H84" s="41"/>
      <c r="I84" s="41"/>
    </row>
    <row r="85" spans="1:9" s="692" customFormat="1" ht="16.5" thickBot="1" x14ac:dyDescent="0.35">
      <c r="A85" s="36"/>
      <c r="B85" s="36" t="s">
        <v>748</v>
      </c>
      <c r="C85" s="536" t="str">
        <f>IF('Input Data'!E152 = "", "", 'Input Data'!E152)</f>
        <v>Yes</v>
      </c>
      <c r="D85" s="47"/>
      <c r="E85" s="36"/>
      <c r="F85" s="36"/>
      <c r="G85" s="41"/>
      <c r="H85" s="41"/>
      <c r="I85" s="41"/>
    </row>
    <row r="86" spans="1:9" s="692" customFormat="1" ht="16.5" thickBot="1" x14ac:dyDescent="0.35">
      <c r="A86" s="873" t="s">
        <v>299</v>
      </c>
      <c r="B86" s="137" t="s">
        <v>1465</v>
      </c>
      <c r="C86" s="1078" t="str">
        <f>IF(OR(C85="No",ISBLANK(C85)),"No","Yes")</f>
        <v>Yes</v>
      </c>
      <c r="D86" s="428"/>
      <c r="E86" s="16" t="str">
        <f>$E$82</f>
        <v>COMPLIANT</v>
      </c>
      <c r="F86" s="206"/>
      <c r="G86" s="41"/>
      <c r="H86" s="41"/>
      <c r="I86" s="41"/>
    </row>
    <row r="87" spans="1:9" s="692" customFormat="1" ht="16.5" thickBot="1" x14ac:dyDescent="0.35">
      <c r="A87" s="244"/>
      <c r="B87" s="4"/>
      <c r="C87" s="541"/>
      <c r="D87" s="4"/>
      <c r="E87" s="4"/>
      <c r="F87" s="245"/>
      <c r="G87" s="41"/>
      <c r="H87" s="41"/>
      <c r="I87" s="41"/>
    </row>
    <row r="88" spans="1:9" s="692" customFormat="1" ht="16.5" thickBot="1" x14ac:dyDescent="0.35">
      <c r="A88" s="860" t="s">
        <v>295</v>
      </c>
      <c r="B88" s="19" t="s">
        <v>229</v>
      </c>
      <c r="C88" s="500" t="s">
        <v>232</v>
      </c>
      <c r="D88" s="19" t="s">
        <v>342</v>
      </c>
      <c r="E88" s="19" t="s">
        <v>1265</v>
      </c>
      <c r="F88" s="195" t="s">
        <v>344</v>
      </c>
      <c r="G88" s="41"/>
      <c r="H88" s="41"/>
      <c r="I88" s="41"/>
    </row>
    <row r="89" spans="1:9" s="692" customFormat="1" ht="41.25" thickBot="1" x14ac:dyDescent="0.35">
      <c r="A89" s="91" t="s">
        <v>1442</v>
      </c>
      <c r="B89" s="6" t="s">
        <v>1467</v>
      </c>
      <c r="C89" s="528">
        <v>0</v>
      </c>
      <c r="D89" s="1421" t="s">
        <v>371</v>
      </c>
      <c r="E89" s="96" t="str">
        <f>IF(C94=0,"COMPLIANT","NOT COMPLIANT")</f>
        <v>COMPLIANT</v>
      </c>
      <c r="F89" s="199" t="s">
        <v>1468</v>
      </c>
      <c r="G89" s="41"/>
      <c r="H89" s="41"/>
      <c r="I89" s="41"/>
    </row>
    <row r="90" spans="1:9" s="692" customFormat="1" ht="16.5" thickBot="1" x14ac:dyDescent="0.35">
      <c r="A90" s="1006" t="s">
        <v>1469</v>
      </c>
      <c r="B90" s="156" t="s">
        <v>229</v>
      </c>
      <c r="C90" s="492"/>
      <c r="D90" s="9"/>
      <c r="E90" s="3"/>
      <c r="F90" s="222"/>
      <c r="G90" s="41"/>
      <c r="H90" s="41"/>
      <c r="I90" s="41"/>
    </row>
    <row r="91" spans="1:9" s="692" customFormat="1" ht="16.5" thickBot="1" x14ac:dyDescent="0.35">
      <c r="A91" s="98"/>
      <c r="B91" s="100"/>
      <c r="C91" s="501"/>
      <c r="D91" s="24"/>
      <c r="E91" s="37"/>
      <c r="F91" s="223"/>
      <c r="G91" s="41"/>
      <c r="H91" s="41"/>
      <c r="I91" s="41"/>
    </row>
    <row r="92" spans="1:9" s="692" customFormat="1" ht="16.5" thickBot="1" x14ac:dyDescent="0.35">
      <c r="A92" s="679"/>
      <c r="B92" s="679" t="s">
        <v>751</v>
      </c>
      <c r="C92" s="385">
        <f>'Input Data'!$E$153</f>
        <v>0</v>
      </c>
      <c r="D92" s="66" t="s">
        <v>371</v>
      </c>
      <c r="E92" s="679"/>
      <c r="F92" s="209"/>
      <c r="G92" s="41"/>
      <c r="H92" s="41"/>
      <c r="I92" s="41"/>
    </row>
    <row r="93" spans="1:9" s="692" customFormat="1" ht="16.5" thickBot="1" x14ac:dyDescent="0.35">
      <c r="A93" s="679"/>
      <c r="B93" s="47" t="s">
        <v>753</v>
      </c>
      <c r="C93" s="385">
        <f>'Input Data'!$E$154</f>
        <v>0</v>
      </c>
      <c r="D93" s="66" t="s">
        <v>371</v>
      </c>
      <c r="E93" s="679"/>
      <c r="F93" s="202"/>
      <c r="G93" s="41"/>
      <c r="H93" s="41"/>
      <c r="I93" s="41"/>
    </row>
    <row r="94" spans="1:9" s="692" customFormat="1" ht="16.5" thickBot="1" x14ac:dyDescent="0.35">
      <c r="A94" s="1023" t="s">
        <v>300</v>
      </c>
      <c r="B94" s="131" t="s">
        <v>1467</v>
      </c>
      <c r="C94" s="391">
        <f>C93</f>
        <v>0</v>
      </c>
      <c r="D94" s="157" t="s">
        <v>371</v>
      </c>
      <c r="E94" s="158" t="str">
        <f>E89</f>
        <v>COMPLIANT</v>
      </c>
      <c r="F94" s="211"/>
      <c r="G94" s="41"/>
      <c r="H94" s="41"/>
      <c r="I94" s="41"/>
    </row>
    <row r="95" spans="1:9" s="692" customFormat="1" ht="16.5" thickBot="1" x14ac:dyDescent="0.35">
      <c r="A95" s="244"/>
      <c r="B95" s="4"/>
      <c r="C95" s="541"/>
      <c r="D95" s="4"/>
      <c r="E95" s="4"/>
      <c r="F95" s="245"/>
      <c r="G95" s="41"/>
      <c r="H95" s="41"/>
      <c r="I95" s="41"/>
    </row>
    <row r="96" spans="1:9" s="692" customFormat="1" ht="16.5" thickBot="1" x14ac:dyDescent="0.35">
      <c r="A96" s="181" t="s">
        <v>302</v>
      </c>
      <c r="B96" s="19" t="s">
        <v>229</v>
      </c>
      <c r="C96" s="500" t="s">
        <v>232</v>
      </c>
      <c r="D96" s="19" t="s">
        <v>342</v>
      </c>
      <c r="E96" s="19" t="s">
        <v>1265</v>
      </c>
      <c r="F96" s="195" t="s">
        <v>344</v>
      </c>
      <c r="G96" s="41"/>
      <c r="H96" s="41"/>
      <c r="I96" s="41"/>
    </row>
    <row r="97" spans="1:9" s="692" customFormat="1" ht="54.75" thickBot="1" x14ac:dyDescent="0.35">
      <c r="A97" s="91" t="s">
        <v>1288</v>
      </c>
      <c r="B97" s="36" t="s">
        <v>1289</v>
      </c>
      <c r="C97" s="394" t="s">
        <v>399</v>
      </c>
      <c r="D97" s="1423"/>
      <c r="E97" s="1423"/>
      <c r="F97" s="199" t="s">
        <v>1290</v>
      </c>
      <c r="G97" s="41"/>
      <c r="H97" s="41"/>
      <c r="I97" s="41"/>
    </row>
    <row r="98" spans="1:9" s="692" customFormat="1" ht="16.5" thickBot="1" x14ac:dyDescent="0.35">
      <c r="A98" s="17" t="s">
        <v>1291</v>
      </c>
      <c r="B98" s="159" t="s">
        <v>229</v>
      </c>
      <c r="C98" s="492"/>
      <c r="D98" s="3"/>
      <c r="E98" s="3"/>
      <c r="F98" s="222"/>
      <c r="G98" s="41"/>
      <c r="H98" s="41"/>
      <c r="I98" s="41"/>
    </row>
    <row r="99" spans="1:9" s="692" customFormat="1" ht="16.5" thickBot="1" x14ac:dyDescent="0.35">
      <c r="A99" s="1325"/>
      <c r="B99" s="74"/>
      <c r="C99" s="501"/>
      <c r="D99" s="37"/>
      <c r="E99" s="37"/>
      <c r="F99" s="223"/>
      <c r="G99" s="41"/>
      <c r="H99" s="41"/>
      <c r="I99" s="41"/>
    </row>
    <row r="100" spans="1:9" s="692" customFormat="1" ht="16.5" thickBot="1" x14ac:dyDescent="0.35">
      <c r="A100" s="47"/>
      <c r="B100" s="47" t="s">
        <v>756</v>
      </c>
      <c r="C100" s="385" t="str">
        <f>'Input Data'!E155</f>
        <v>Yes</v>
      </c>
      <c r="D100" s="66"/>
      <c r="E100" s="679"/>
      <c r="F100" s="202"/>
      <c r="G100" s="41"/>
      <c r="H100" s="41"/>
      <c r="I100" s="41"/>
    </row>
    <row r="101" spans="1:9" s="692" customFormat="1" ht="16.5" thickBot="1" x14ac:dyDescent="0.35">
      <c r="A101" s="47"/>
      <c r="B101" s="36" t="s">
        <v>758</v>
      </c>
      <c r="C101" s="385" t="str">
        <f>'Input Data'!E156</f>
        <v>Yes</v>
      </c>
      <c r="D101" s="66"/>
      <c r="E101" s="679"/>
      <c r="F101" s="686"/>
      <c r="G101" s="41"/>
      <c r="H101" s="41"/>
      <c r="I101" s="41"/>
    </row>
    <row r="102" spans="1:9" s="692" customFormat="1" ht="27.75" thickBot="1" x14ac:dyDescent="0.35">
      <c r="A102" s="47"/>
      <c r="B102" s="36" t="s">
        <v>760</v>
      </c>
      <c r="C102" s="385" t="str">
        <f>'Input Data'!E157</f>
        <v>Yes</v>
      </c>
      <c r="D102" s="66"/>
      <c r="E102" s="679"/>
      <c r="F102" s="207"/>
      <c r="G102" s="41"/>
      <c r="H102" s="41"/>
      <c r="I102" s="41"/>
    </row>
    <row r="103" spans="1:9" s="692" customFormat="1" ht="54.75" thickBot="1" x14ac:dyDescent="0.35">
      <c r="A103" s="132" t="s">
        <v>1292</v>
      </c>
      <c r="B103" s="137" t="s">
        <v>1289</v>
      </c>
      <c r="C103" s="722" t="str">
        <f>IF(AND(C100="YES",C101="YES",C102="YES"),"Yes","No")</f>
        <v>Yes</v>
      </c>
      <c r="D103" s="133"/>
      <c r="E103" s="16" t="str">
        <f>IF(C103="Yes", "COMPLIANT", "NOT COMPLIANT")</f>
        <v>COMPLIANT</v>
      </c>
      <c r="F103" s="206"/>
      <c r="G103" s="41"/>
      <c r="H103" s="41"/>
      <c r="I103" s="41"/>
    </row>
    <row r="104" spans="1:9" s="692" customFormat="1" ht="16.5" thickBot="1" x14ac:dyDescent="0.35">
      <c r="A104" s="244"/>
      <c r="B104" s="4"/>
      <c r="C104" s="541"/>
      <c r="D104" s="4"/>
      <c r="E104" s="4"/>
      <c r="F104" s="245"/>
      <c r="G104" s="41"/>
      <c r="H104" s="41"/>
      <c r="I104" s="41"/>
    </row>
    <row r="105" spans="1:9" s="692" customFormat="1" ht="16.5" thickBot="1" x14ac:dyDescent="0.35">
      <c r="A105" s="181" t="s">
        <v>302</v>
      </c>
      <c r="B105" s="19" t="s">
        <v>229</v>
      </c>
      <c r="C105" s="378" t="s">
        <v>232</v>
      </c>
      <c r="D105" s="19" t="s">
        <v>342</v>
      </c>
      <c r="E105" s="19" t="s">
        <v>1265</v>
      </c>
      <c r="F105" s="270" t="s">
        <v>344</v>
      </c>
      <c r="G105" s="41"/>
      <c r="H105" s="41"/>
      <c r="I105" s="41"/>
    </row>
    <row r="106" spans="1:9" s="692" customFormat="1" ht="68.25" thickBot="1" x14ac:dyDescent="0.35">
      <c r="A106" s="36" t="s">
        <v>1288</v>
      </c>
      <c r="B106" s="260" t="s">
        <v>1293</v>
      </c>
      <c r="C106" s="417" t="s">
        <v>399</v>
      </c>
      <c r="D106" s="126" t="s">
        <v>400</v>
      </c>
      <c r="E106" s="122" t="str">
        <f>IF(C114="Yes","COMPLIANT","NOT COMPLIANT")</f>
        <v>COMPLIANT</v>
      </c>
      <c r="F106" s="354" t="s">
        <v>1294</v>
      </c>
      <c r="G106" s="41"/>
      <c r="H106" s="41"/>
      <c r="I106" s="41"/>
    </row>
    <row r="107" spans="1:9" s="692" customFormat="1" ht="16.5" thickBot="1" x14ac:dyDescent="0.35">
      <c r="A107" s="1322" t="s">
        <v>1295</v>
      </c>
      <c r="B107" s="268" t="s">
        <v>229</v>
      </c>
      <c r="C107" s="386"/>
      <c r="D107" s="3"/>
      <c r="E107" s="3"/>
      <c r="F107" s="272"/>
      <c r="G107" s="41"/>
      <c r="H107" s="41"/>
      <c r="I107" s="41"/>
    </row>
    <row r="108" spans="1:9" s="692" customFormat="1" ht="16.5" thickBot="1" x14ac:dyDescent="0.35">
      <c r="A108" s="1325"/>
      <c r="B108" s="90"/>
      <c r="C108" s="501"/>
      <c r="D108" s="37"/>
      <c r="E108" s="37"/>
      <c r="F108" s="223"/>
      <c r="G108" s="41"/>
      <c r="H108" s="41"/>
      <c r="I108" s="41"/>
    </row>
    <row r="109" spans="1:9" s="692" customFormat="1" ht="16.5" thickBot="1" x14ac:dyDescent="0.35">
      <c r="A109" s="1325"/>
      <c r="B109" s="91" t="s">
        <v>763</v>
      </c>
      <c r="C109" s="116" t="str">
        <f>'Input Data'!E158</f>
        <v>Yes</v>
      </c>
      <c r="D109" s="37"/>
      <c r="E109" s="37"/>
      <c r="F109" s="1026"/>
      <c r="G109" s="41"/>
      <c r="H109" s="41"/>
      <c r="I109" s="41"/>
    </row>
    <row r="110" spans="1:9" s="692" customFormat="1" ht="27.75" thickBot="1" x14ac:dyDescent="0.35">
      <c r="A110" s="1325"/>
      <c r="B110" s="1027" t="s">
        <v>899</v>
      </c>
      <c r="C110" s="116" t="str">
        <f>'Input Data'!E159</f>
        <v>Yes</v>
      </c>
      <c r="D110" s="37"/>
      <c r="E110" s="37"/>
      <c r="F110" s="1026"/>
      <c r="G110" s="41"/>
      <c r="H110" s="41"/>
      <c r="I110" s="41"/>
    </row>
    <row r="111" spans="1:9" s="692" customFormat="1" ht="16.5" thickBot="1" x14ac:dyDescent="0.35">
      <c r="A111" s="1325"/>
      <c r="B111" s="91" t="s">
        <v>767</v>
      </c>
      <c r="C111" s="116" t="str">
        <f>'Input Data'!E160</f>
        <v>Yes</v>
      </c>
      <c r="D111" s="37"/>
      <c r="E111" s="37"/>
      <c r="F111" s="1026"/>
      <c r="G111" s="41"/>
      <c r="H111" s="41"/>
      <c r="I111" s="41"/>
    </row>
    <row r="112" spans="1:9" s="692" customFormat="1" ht="27.75" thickBot="1" x14ac:dyDescent="0.35">
      <c r="A112" s="1325"/>
      <c r="B112" s="91" t="s">
        <v>769</v>
      </c>
      <c r="C112" s="116" t="str">
        <f>'Input Data'!E161</f>
        <v>Yes</v>
      </c>
      <c r="D112" s="37"/>
      <c r="E112" s="37"/>
      <c r="F112" s="1026"/>
      <c r="G112" s="41"/>
      <c r="H112" s="41"/>
      <c r="I112" s="41"/>
    </row>
    <row r="113" spans="1:11" s="692" customFormat="1" ht="16.5" thickBot="1" x14ac:dyDescent="0.35">
      <c r="A113" s="1325"/>
      <c r="B113" s="74"/>
      <c r="C113" s="501"/>
      <c r="D113" s="37"/>
      <c r="E113" s="37"/>
      <c r="F113" s="1026"/>
      <c r="G113" s="41"/>
      <c r="H113" s="41"/>
      <c r="I113" s="41"/>
    </row>
    <row r="114" spans="1:11" s="692" customFormat="1" ht="16.5" thickBot="1" x14ac:dyDescent="0.35">
      <c r="A114" s="1208" t="s">
        <v>303</v>
      </c>
      <c r="B114" s="274" t="s">
        <v>1293</v>
      </c>
      <c r="C114" s="722" t="str">
        <f>IF(AND(C109="YES",C110="YES",C111="YES", C112="Yes"),"Yes","No")</f>
        <v>Yes</v>
      </c>
      <c r="D114" s="128"/>
      <c r="E114" s="128" t="str">
        <f>E106</f>
        <v>COMPLIANT</v>
      </c>
      <c r="F114" s="273"/>
      <c r="G114" s="41"/>
      <c r="H114" s="41"/>
      <c r="I114" s="41"/>
    </row>
    <row r="115" spans="1:11" s="692" customFormat="1" ht="16.5" thickBot="1" x14ac:dyDescent="0.35">
      <c r="A115" s="244"/>
      <c r="B115" s="4"/>
      <c r="C115" s="541"/>
      <c r="D115" s="4"/>
      <c r="E115" s="4"/>
      <c r="F115" s="245"/>
      <c r="G115" s="41"/>
      <c r="H115" s="41"/>
      <c r="I115" s="41"/>
    </row>
    <row r="116" spans="1:11" s="692" customFormat="1" ht="16.5" thickBot="1" x14ac:dyDescent="0.35">
      <c r="A116" s="860" t="s">
        <v>302</v>
      </c>
      <c r="B116" s="861" t="s">
        <v>229</v>
      </c>
      <c r="C116" s="862" t="s">
        <v>232</v>
      </c>
      <c r="D116" s="861" t="s">
        <v>342</v>
      </c>
      <c r="E116" s="861" t="s">
        <v>1265</v>
      </c>
      <c r="F116" s="863" t="s">
        <v>344</v>
      </c>
      <c r="G116" s="41"/>
      <c r="H116" s="41"/>
      <c r="I116" s="41"/>
    </row>
    <row r="117" spans="1:11" s="692" customFormat="1" ht="81.75" thickBot="1" x14ac:dyDescent="0.35">
      <c r="A117" s="26" t="s">
        <v>1288</v>
      </c>
      <c r="B117" s="260" t="s">
        <v>1395</v>
      </c>
      <c r="C117" s="1115" t="s">
        <v>399</v>
      </c>
      <c r="D117" s="122" t="s">
        <v>400</v>
      </c>
      <c r="E117" s="122" t="str">
        <f>IF(C119="Yes","COMPLIANT","NOT COMPLIANT")</f>
        <v>COMPLIANT</v>
      </c>
      <c r="F117" s="354" t="s">
        <v>1396</v>
      </c>
      <c r="G117" s="41"/>
      <c r="H117" s="41"/>
      <c r="I117" s="41"/>
    </row>
    <row r="118" spans="1:11" s="692" customFormat="1" ht="16.5" thickBot="1" x14ac:dyDescent="0.35">
      <c r="A118" s="866" t="s">
        <v>1397</v>
      </c>
      <c r="B118" s="1116" t="s">
        <v>229</v>
      </c>
      <c r="C118" s="386"/>
      <c r="D118" s="869"/>
      <c r="E118" s="869"/>
      <c r="F118" s="870"/>
      <c r="G118" s="41"/>
      <c r="H118" s="252"/>
      <c r="I118" s="41"/>
    </row>
    <row r="119" spans="1:11" s="692" customFormat="1" ht="16.5" thickBot="1" x14ac:dyDescent="0.35">
      <c r="A119" s="871" t="s">
        <v>304</v>
      </c>
      <c r="B119" s="1117" t="s">
        <v>1395</v>
      </c>
      <c r="C119" s="1347" t="str">
        <f>IF(ISBLANK('Input Data'!$E$162), "", 'Input Data'!$E$162)</f>
        <v>Yes</v>
      </c>
      <c r="D119" s="873"/>
      <c r="E119" s="132" t="str">
        <f>E117</f>
        <v>COMPLIANT</v>
      </c>
      <c r="F119" s="874"/>
      <c r="G119" s="252"/>
      <c r="H119" s="252"/>
      <c r="I119" s="252"/>
    </row>
    <row r="120" spans="1:11" s="692" customFormat="1" ht="16.5" thickBot="1" x14ac:dyDescent="0.35">
      <c r="C120" s="21"/>
      <c r="G120" s="252"/>
      <c r="H120" s="252"/>
      <c r="I120" s="252"/>
    </row>
    <row r="121" spans="1:11" s="692" customFormat="1" ht="16.5" thickBot="1" x14ac:dyDescent="0.35">
      <c r="A121" s="860" t="s">
        <v>302</v>
      </c>
      <c r="B121" s="19" t="s">
        <v>229</v>
      </c>
      <c r="C121" s="500" t="s">
        <v>232</v>
      </c>
      <c r="D121" s="19" t="s">
        <v>342</v>
      </c>
      <c r="E121" s="19" t="s">
        <v>1265</v>
      </c>
      <c r="F121" s="195" t="s">
        <v>344</v>
      </c>
      <c r="G121" s="252"/>
      <c r="H121" s="252"/>
      <c r="I121" s="252"/>
    </row>
    <row r="122" spans="1:11" s="692" customFormat="1" ht="54.75" thickBot="1" x14ac:dyDescent="0.35">
      <c r="A122" s="91" t="s">
        <v>1288</v>
      </c>
      <c r="B122" s="6" t="s">
        <v>1470</v>
      </c>
      <c r="C122" s="531" t="s">
        <v>1471</v>
      </c>
      <c r="D122" s="1421"/>
      <c r="E122" s="96"/>
      <c r="F122" s="199" t="s">
        <v>1472</v>
      </c>
      <c r="G122" s="252"/>
      <c r="H122" s="252"/>
      <c r="I122" s="252"/>
    </row>
    <row r="123" spans="1:11" s="692" customFormat="1" ht="16.5" thickBot="1" x14ac:dyDescent="0.35">
      <c r="A123" s="1006" t="s">
        <v>1473</v>
      </c>
      <c r="B123" s="156" t="s">
        <v>229</v>
      </c>
      <c r="C123" s="492"/>
      <c r="D123" s="9"/>
      <c r="E123" s="3"/>
      <c r="F123" s="222"/>
      <c r="G123" s="252"/>
      <c r="H123" s="252"/>
      <c r="I123" s="252"/>
    </row>
    <row r="124" spans="1:11" s="692" customFormat="1" ht="16.5" thickBot="1" x14ac:dyDescent="0.35">
      <c r="A124" s="98"/>
      <c r="B124" s="100"/>
      <c r="C124" s="501"/>
      <c r="D124" s="24"/>
      <c r="E124" s="37"/>
      <c r="F124" s="223"/>
      <c r="G124" s="252"/>
      <c r="H124" s="252"/>
      <c r="I124" s="252"/>
    </row>
    <row r="125" spans="1:11" s="692" customFormat="1" ht="16.5" thickBot="1" x14ac:dyDescent="0.35">
      <c r="A125" s="98"/>
      <c r="B125" s="100" t="s">
        <v>1474</v>
      </c>
      <c r="C125" s="1122">
        <f>'Input Data'!E69</f>
        <v>0</v>
      </c>
      <c r="D125" s="24" t="s">
        <v>371</v>
      </c>
      <c r="E125" s="37"/>
      <c r="F125" s="223"/>
      <c r="G125" s="252"/>
      <c r="H125" s="252"/>
      <c r="I125" s="252"/>
    </row>
    <row r="126" spans="1:11" s="692" customFormat="1" ht="27.75" thickBot="1" x14ac:dyDescent="0.35">
      <c r="A126" s="98"/>
      <c r="B126" s="100" t="s">
        <v>1475</v>
      </c>
      <c r="C126" s="1123">
        <f>'Input Data'!E165</f>
        <v>0</v>
      </c>
      <c r="D126" s="65" t="s">
        <v>384</v>
      </c>
      <c r="E126" s="37"/>
      <c r="F126" s="223" t="s">
        <v>1476</v>
      </c>
      <c r="G126" s="252"/>
      <c r="H126" s="252"/>
      <c r="I126" s="252"/>
    </row>
    <row r="127" spans="1:11" s="692" customFormat="1" ht="16.5" thickBot="1" x14ac:dyDescent="0.35">
      <c r="A127" s="98"/>
      <c r="B127" s="100" t="s">
        <v>1477</v>
      </c>
      <c r="C127" s="1122">
        <f>'Input Data'!E70</f>
        <v>0</v>
      </c>
      <c r="D127" s="65" t="s">
        <v>536</v>
      </c>
      <c r="E127" s="37"/>
      <c r="F127" s="223"/>
      <c r="G127" s="252"/>
      <c r="H127" s="252"/>
      <c r="I127" s="252"/>
    </row>
    <row r="128" spans="1:11" ht="15.75" x14ac:dyDescent="0.3">
      <c r="A128" s="679"/>
      <c r="B128" s="100" t="s">
        <v>1478</v>
      </c>
      <c r="C128" s="556" t="str">
        <f>IFERROR(C127/C125, "")</f>
        <v/>
      </c>
      <c r="D128" s="65" t="s">
        <v>1479</v>
      </c>
      <c r="E128" s="679"/>
      <c r="F128" s="209"/>
      <c r="G128" s="252"/>
      <c r="H128" s="252"/>
      <c r="I128" s="252"/>
      <c r="J128" s="692"/>
      <c r="K128" s="692"/>
    </row>
    <row r="129" spans="1:11" ht="15.75" x14ac:dyDescent="0.3">
      <c r="A129" s="679"/>
      <c r="B129" s="100" t="s">
        <v>1480</v>
      </c>
      <c r="C129" s="556" t="e">
        <f>(C128*1000)/((C126/C125)/10)</f>
        <v>#VALUE!</v>
      </c>
      <c r="D129" s="65" t="s">
        <v>1481</v>
      </c>
      <c r="E129" s="679"/>
      <c r="F129" s="209" t="s">
        <v>1482</v>
      </c>
      <c r="G129" s="252"/>
      <c r="H129" s="252"/>
      <c r="I129" s="252"/>
      <c r="J129" s="692"/>
      <c r="K129" s="692"/>
    </row>
    <row r="130" spans="1:11" ht="15.75" x14ac:dyDescent="0.3">
      <c r="A130" s="679"/>
      <c r="B130" s="100" t="s">
        <v>785</v>
      </c>
      <c r="C130" s="556">
        <f>'Input Data'!E166</f>
        <v>0</v>
      </c>
      <c r="D130" s="65" t="s">
        <v>786</v>
      </c>
      <c r="E130" s="679"/>
      <c r="F130" s="209" t="s">
        <v>1483</v>
      </c>
      <c r="G130" s="252"/>
      <c r="H130" s="252"/>
      <c r="I130" s="252"/>
      <c r="J130" s="692"/>
      <c r="K130" s="692"/>
    </row>
    <row r="131" spans="1:11" ht="15.75" x14ac:dyDescent="0.3">
      <c r="A131" s="679"/>
      <c r="B131" s="100" t="s">
        <v>1484</v>
      </c>
      <c r="C131" s="556">
        <f>66+(0.05*C130)</f>
        <v>66</v>
      </c>
      <c r="D131" s="65" t="s">
        <v>1481</v>
      </c>
      <c r="E131" s="679"/>
      <c r="F131" s="209"/>
      <c r="G131" s="252"/>
      <c r="H131" s="252"/>
      <c r="I131" s="252"/>
      <c r="J131" s="692"/>
      <c r="K131" s="692"/>
    </row>
    <row r="132" spans="1:11" ht="16.5" thickBot="1" x14ac:dyDescent="0.35">
      <c r="A132" s="679"/>
      <c r="B132" s="47"/>
      <c r="C132" s="394"/>
      <c r="D132" s="66"/>
      <c r="E132" s="679"/>
      <c r="F132" s="202"/>
      <c r="G132" s="252"/>
      <c r="H132" s="252"/>
      <c r="I132" s="252"/>
      <c r="J132" s="692"/>
      <c r="K132" s="692"/>
    </row>
    <row r="133" spans="1:11" ht="16.5" thickBot="1" x14ac:dyDescent="0.35">
      <c r="A133" s="1023" t="s">
        <v>305</v>
      </c>
      <c r="B133" s="133" t="s">
        <v>1485</v>
      </c>
      <c r="C133" s="530" t="e">
        <f>TEXT(C129,0)&amp;"/"&amp;TEXT(C131,0)</f>
        <v>#VALUE!</v>
      </c>
      <c r="D133" s="133" t="s">
        <v>1481</v>
      </c>
      <c r="E133" s="158" t="e">
        <f>IF(C129=0,"",IF(C129&gt;=C131,"COMPLIANT","NOT COMPLIANT"))</f>
        <v>#VALUE!</v>
      </c>
      <c r="F133" s="211"/>
      <c r="G133" s="252"/>
      <c r="H133" s="252"/>
      <c r="I133" s="252"/>
      <c r="J133" s="692"/>
      <c r="K133" s="692"/>
    </row>
    <row r="134" spans="1:11" ht="16.5" thickBot="1" x14ac:dyDescent="0.35">
      <c r="A134" s="692"/>
      <c r="B134" s="692"/>
      <c r="C134" s="21"/>
      <c r="D134" s="692"/>
      <c r="E134" s="692"/>
      <c r="F134" s="692"/>
      <c r="G134" s="252"/>
      <c r="H134" s="252"/>
      <c r="I134" s="252"/>
      <c r="J134" s="692"/>
      <c r="K134" s="692"/>
    </row>
    <row r="135" spans="1:11" s="692" customFormat="1" ht="16.5" thickBot="1" x14ac:dyDescent="0.35">
      <c r="A135" s="181" t="s">
        <v>307</v>
      </c>
      <c r="B135" s="19" t="s">
        <v>229</v>
      </c>
      <c r="C135" s="500" t="s">
        <v>232</v>
      </c>
      <c r="D135" s="19" t="s">
        <v>342</v>
      </c>
      <c r="E135" s="19" t="s">
        <v>1265</v>
      </c>
      <c r="F135" s="195" t="s">
        <v>344</v>
      </c>
      <c r="G135" s="252"/>
      <c r="H135" s="252"/>
      <c r="I135" s="252"/>
    </row>
    <row r="136" spans="1:11" s="692" customFormat="1" ht="27.75" thickBot="1" x14ac:dyDescent="0.35">
      <c r="A136" s="91" t="s">
        <v>1297</v>
      </c>
      <c r="B136" s="6" t="s">
        <v>1298</v>
      </c>
      <c r="C136" s="531" t="s">
        <v>1299</v>
      </c>
      <c r="D136" s="1421" t="s">
        <v>210</v>
      </c>
      <c r="E136" s="96"/>
      <c r="F136" s="199"/>
      <c r="G136" s="252"/>
      <c r="H136" s="252"/>
      <c r="I136" s="252"/>
    </row>
    <row r="137" spans="1:11" s="692" customFormat="1" ht="16.5" thickBot="1" x14ac:dyDescent="0.35">
      <c r="A137" s="17" t="s">
        <v>1300</v>
      </c>
      <c r="B137" s="156" t="s">
        <v>229</v>
      </c>
      <c r="C137" s="492"/>
      <c r="D137" s="9"/>
      <c r="E137" s="3"/>
      <c r="F137" s="222"/>
      <c r="G137" s="252"/>
      <c r="H137" s="252"/>
      <c r="I137" s="252"/>
    </row>
    <row r="138" spans="1:11" s="692" customFormat="1" ht="16.5" thickBot="1" x14ac:dyDescent="0.35">
      <c r="A138" s="36"/>
      <c r="B138" s="100"/>
      <c r="C138" s="501"/>
      <c r="D138" s="24"/>
      <c r="E138" s="37"/>
      <c r="F138" s="223"/>
      <c r="G138" s="252"/>
      <c r="H138" s="252"/>
      <c r="I138" s="252"/>
    </row>
    <row r="139" spans="1:11" s="692" customFormat="1" ht="27.75" thickBot="1" x14ac:dyDescent="0.35">
      <c r="A139" s="36"/>
      <c r="B139" s="683" t="s">
        <v>789</v>
      </c>
      <c r="C139" s="1152">
        <f>'Input Data'!$E$167</f>
        <v>0</v>
      </c>
      <c r="D139" s="683" t="s">
        <v>371</v>
      </c>
      <c r="E139" s="37"/>
      <c r="F139" s="223"/>
      <c r="G139" s="252"/>
      <c r="H139" s="252"/>
      <c r="I139" s="252"/>
    </row>
    <row r="140" spans="1:11" s="692" customFormat="1" ht="16.5" thickBot="1" x14ac:dyDescent="0.35">
      <c r="A140" s="36"/>
      <c r="B140" s="683" t="s">
        <v>374</v>
      </c>
      <c r="C140" s="1150">
        <f>'Input Data'!$E$14</f>
        <v>0</v>
      </c>
      <c r="D140" s="65" t="s">
        <v>371</v>
      </c>
      <c r="E140" s="37"/>
      <c r="F140" s="223"/>
      <c r="G140" s="252"/>
      <c r="H140" s="252"/>
      <c r="I140" s="252"/>
    </row>
    <row r="141" spans="1:11" s="692" customFormat="1" ht="15.75" x14ac:dyDescent="0.3">
      <c r="A141" s="47"/>
      <c r="B141" s="100"/>
      <c r="C141" s="1028"/>
      <c r="D141" s="65"/>
      <c r="E141" s="679"/>
      <c r="F141" s="209"/>
      <c r="G141" s="252"/>
      <c r="H141" s="252"/>
      <c r="I141" s="252"/>
    </row>
    <row r="142" spans="1:11" s="692" customFormat="1" ht="16.5" thickBot="1" x14ac:dyDescent="0.35">
      <c r="A142" s="47"/>
      <c r="B142" s="47"/>
      <c r="C142" s="394"/>
      <c r="D142" s="66"/>
      <c r="E142" s="679"/>
      <c r="F142" s="202"/>
      <c r="G142" s="252"/>
      <c r="H142" s="252"/>
      <c r="I142" s="252"/>
    </row>
    <row r="143" spans="1:11" s="692" customFormat="1" ht="27.75" thickBot="1" x14ac:dyDescent="0.35">
      <c r="A143" s="137" t="s">
        <v>1486</v>
      </c>
      <c r="B143" s="157" t="s">
        <v>1298</v>
      </c>
      <c r="C143" s="1151" t="e">
        <f>C139/C140*100</f>
        <v>#DIV/0!</v>
      </c>
      <c r="D143" s="133" t="s">
        <v>210</v>
      </c>
      <c r="E143" s="158" t="e">
        <f>IF(C143&gt;80,"COMPLIANT","NOT COMPLIANT")</f>
        <v>#DIV/0!</v>
      </c>
      <c r="F143" s="211"/>
      <c r="G143" s="252"/>
      <c r="H143" s="252"/>
      <c r="I143" s="252"/>
    </row>
    <row r="144" spans="1:11" s="692" customFormat="1" ht="16.5" thickBot="1" x14ac:dyDescent="0.35">
      <c r="C144" s="21"/>
      <c r="G144" s="252"/>
      <c r="H144" s="252"/>
      <c r="I144" s="252"/>
    </row>
    <row r="145" spans="1:11" ht="16.5" thickBot="1" x14ac:dyDescent="0.35">
      <c r="A145" s="860" t="s">
        <v>307</v>
      </c>
      <c r="B145" s="19" t="s">
        <v>229</v>
      </c>
      <c r="C145" s="500" t="s">
        <v>232</v>
      </c>
      <c r="D145" s="19" t="s">
        <v>342</v>
      </c>
      <c r="E145" s="19" t="s">
        <v>1265</v>
      </c>
      <c r="F145" s="195" t="s">
        <v>344</v>
      </c>
      <c r="G145" s="252"/>
      <c r="H145" s="252"/>
      <c r="I145" s="252"/>
      <c r="J145" s="692"/>
      <c r="K145" s="692"/>
    </row>
    <row r="146" spans="1:11" ht="27.75" thickBot="1" x14ac:dyDescent="0.35">
      <c r="A146" s="91" t="s">
        <v>1297</v>
      </c>
      <c r="B146" s="6" t="s">
        <v>1487</v>
      </c>
      <c r="C146" s="531" t="s">
        <v>1299</v>
      </c>
      <c r="D146" s="1421" t="s">
        <v>210</v>
      </c>
      <c r="E146" s="96" t="e">
        <f>E153</f>
        <v>#DIV/0!</v>
      </c>
      <c r="F146" s="199"/>
      <c r="G146" s="252"/>
      <c r="H146" s="252"/>
      <c r="I146" s="252"/>
      <c r="J146" s="692"/>
      <c r="K146" s="692"/>
    </row>
    <row r="147" spans="1:11" ht="16.5" thickBot="1" x14ac:dyDescent="0.35">
      <c r="A147" s="1006" t="s">
        <v>1488</v>
      </c>
      <c r="B147" s="156" t="s">
        <v>229</v>
      </c>
      <c r="C147" s="492"/>
      <c r="D147" s="9"/>
      <c r="E147" s="3"/>
      <c r="F147" s="222"/>
      <c r="G147" s="252"/>
      <c r="H147" s="252"/>
      <c r="I147" s="252"/>
      <c r="J147" s="692"/>
      <c r="K147" s="692"/>
    </row>
    <row r="148" spans="1:11" ht="16.5" thickBot="1" x14ac:dyDescent="0.35">
      <c r="A148" s="98"/>
      <c r="B148" s="100"/>
      <c r="C148" s="501"/>
      <c r="D148" s="24"/>
      <c r="E148" s="37"/>
      <c r="F148" s="223"/>
      <c r="G148" s="252"/>
      <c r="H148" s="252"/>
      <c r="I148" s="252"/>
      <c r="J148" s="692"/>
      <c r="K148" s="692"/>
    </row>
    <row r="149" spans="1:11" ht="16.5" thickBot="1" x14ac:dyDescent="0.35">
      <c r="A149" s="98"/>
      <c r="B149" s="683" t="s">
        <v>792</v>
      </c>
      <c r="C149" s="1122" t="str">
        <f>'Input Data'!$E$168</f>
        <v>Yes</v>
      </c>
      <c r="D149" s="24"/>
      <c r="E149" s="37"/>
      <c r="F149" s="223"/>
      <c r="G149" s="252"/>
      <c r="H149" s="252"/>
      <c r="I149" s="252"/>
      <c r="J149" s="692"/>
      <c r="K149" s="692"/>
    </row>
    <row r="150" spans="1:11" ht="16.5" thickBot="1" x14ac:dyDescent="0.35">
      <c r="A150" s="98"/>
      <c r="B150" s="683" t="s">
        <v>794</v>
      </c>
      <c r="C150" s="1123">
        <f>'Input Data'!$E$169</f>
        <v>0</v>
      </c>
      <c r="D150" s="65" t="s">
        <v>371</v>
      </c>
      <c r="E150" s="37"/>
      <c r="F150" s="223"/>
      <c r="G150" s="252"/>
      <c r="H150" s="252"/>
      <c r="I150" s="252"/>
      <c r="J150" s="692"/>
      <c r="K150" s="692"/>
    </row>
    <row r="151" spans="1:11" s="692" customFormat="1" ht="16.5" thickBot="1" x14ac:dyDescent="0.35">
      <c r="A151" s="679"/>
      <c r="B151" s="683" t="s">
        <v>370</v>
      </c>
      <c r="C151" s="1150">
        <f>'Input Data'!$E$13</f>
        <v>0</v>
      </c>
      <c r="D151" s="65" t="s">
        <v>371</v>
      </c>
      <c r="E151" s="679"/>
      <c r="F151" s="209"/>
      <c r="G151" s="252"/>
      <c r="H151" s="252"/>
      <c r="I151" s="252"/>
    </row>
    <row r="152" spans="1:11" s="692" customFormat="1" ht="16.5" thickBot="1" x14ac:dyDescent="0.35">
      <c r="A152" s="679"/>
      <c r="B152" s="47"/>
      <c r="C152" s="394"/>
      <c r="D152" s="66"/>
      <c r="E152" s="679"/>
      <c r="F152" s="202"/>
      <c r="G152" s="252"/>
      <c r="H152" s="252"/>
      <c r="I152" s="252"/>
    </row>
    <row r="153" spans="1:11" s="692" customFormat="1" ht="16.5" thickBot="1" x14ac:dyDescent="0.35">
      <c r="A153" s="1023" t="s">
        <v>308</v>
      </c>
      <c r="B153" s="157" t="s">
        <v>1487</v>
      </c>
      <c r="C153" s="1151" t="e">
        <f>C150/C151*100</f>
        <v>#DIV/0!</v>
      </c>
      <c r="D153" s="133" t="s">
        <v>210</v>
      </c>
      <c r="E153" s="158" t="e">
        <f>IF(C149="No","NOT COMPLIANT",IF(C153&gt;80,"COMPLIANT","NOT COMPLIANT"))</f>
        <v>#DIV/0!</v>
      </c>
      <c r="F153" s="211"/>
      <c r="G153" s="252"/>
      <c r="H153" s="252"/>
      <c r="I153" s="252"/>
    </row>
    <row r="154" spans="1:11" s="692" customFormat="1" ht="16.5" thickBot="1" x14ac:dyDescent="0.35">
      <c r="C154" s="21"/>
      <c r="G154" s="252"/>
      <c r="H154" s="252"/>
      <c r="I154" s="252"/>
    </row>
    <row r="155" spans="1:11" s="692" customFormat="1" ht="16.5" thickBot="1" x14ac:dyDescent="0.35">
      <c r="A155" s="860" t="s">
        <v>307</v>
      </c>
      <c r="B155" s="19" t="s">
        <v>229</v>
      </c>
      <c r="C155" s="500" t="s">
        <v>232</v>
      </c>
      <c r="D155" s="19" t="s">
        <v>342</v>
      </c>
      <c r="E155" s="19" t="s">
        <v>1265</v>
      </c>
      <c r="F155" s="195" t="s">
        <v>344</v>
      </c>
      <c r="G155" s="252"/>
      <c r="H155" s="252"/>
      <c r="I155" s="252"/>
    </row>
    <row r="156" spans="1:11" ht="27.75" thickBot="1" x14ac:dyDescent="0.35">
      <c r="A156" s="91" t="s">
        <v>1297</v>
      </c>
      <c r="B156" s="6" t="s">
        <v>1489</v>
      </c>
      <c r="C156" s="531" t="s">
        <v>1299</v>
      </c>
      <c r="D156" s="1421" t="s">
        <v>210</v>
      </c>
      <c r="E156" s="96" t="e">
        <f>E163</f>
        <v>#DIV/0!</v>
      </c>
      <c r="F156" s="199"/>
      <c r="G156" s="252"/>
      <c r="H156" s="252"/>
      <c r="I156" s="252"/>
      <c r="J156" s="692"/>
      <c r="K156" s="692"/>
    </row>
    <row r="157" spans="1:11" ht="16.5" thickBot="1" x14ac:dyDescent="0.35">
      <c r="A157" s="1006" t="s">
        <v>1490</v>
      </c>
      <c r="B157" s="156" t="s">
        <v>229</v>
      </c>
      <c r="C157" s="492"/>
      <c r="D157" s="9"/>
      <c r="E157" s="3"/>
      <c r="F157" s="222"/>
      <c r="G157" s="252"/>
      <c r="H157" s="252"/>
      <c r="I157" s="252"/>
      <c r="J157" s="692"/>
      <c r="K157" s="692"/>
    </row>
    <row r="158" spans="1:11" ht="16.5" thickBot="1" x14ac:dyDescent="0.35">
      <c r="A158" s="98"/>
      <c r="B158" s="100"/>
      <c r="C158" s="501"/>
      <c r="D158" s="24"/>
      <c r="E158" s="37"/>
      <c r="F158" s="223"/>
      <c r="G158" s="252"/>
      <c r="H158" s="252"/>
      <c r="I158" s="252"/>
      <c r="J158" s="692"/>
      <c r="K158" s="692"/>
    </row>
    <row r="159" spans="1:11" s="692" customFormat="1" ht="16.5" thickBot="1" x14ac:dyDescent="0.35">
      <c r="A159" s="98"/>
      <c r="B159" s="683" t="s">
        <v>797</v>
      </c>
      <c r="C159" s="1122" t="str">
        <f>'Input Data'!$E$170</f>
        <v>Yes</v>
      </c>
      <c r="D159" s="24"/>
      <c r="E159" s="37"/>
      <c r="F159" s="223"/>
      <c r="G159" s="252"/>
      <c r="H159" s="252"/>
      <c r="I159" s="252"/>
    </row>
    <row r="160" spans="1:11" s="692" customFormat="1" ht="16.5" thickBot="1" x14ac:dyDescent="0.35">
      <c r="A160" s="98"/>
      <c r="B160" s="683" t="s">
        <v>799</v>
      </c>
      <c r="C160" s="1123">
        <f>'Input Data'!$E$171</f>
        <v>0</v>
      </c>
      <c r="D160" s="65" t="s">
        <v>371</v>
      </c>
      <c r="E160" s="37"/>
      <c r="F160" s="223"/>
      <c r="G160" s="252"/>
      <c r="H160" s="252"/>
      <c r="I160" s="252"/>
    </row>
    <row r="161" spans="1:11" s="692" customFormat="1" ht="16.5" thickBot="1" x14ac:dyDescent="0.35">
      <c r="A161" s="679"/>
      <c r="B161" s="683" t="s">
        <v>370</v>
      </c>
      <c r="C161" s="1150">
        <f>'Input Data'!$E$13</f>
        <v>0</v>
      </c>
      <c r="D161" s="65" t="s">
        <v>371</v>
      </c>
      <c r="E161" s="679"/>
      <c r="F161" s="209"/>
      <c r="G161" s="252"/>
      <c r="H161" s="252"/>
      <c r="I161" s="252"/>
    </row>
    <row r="162" spans="1:11" s="692" customFormat="1" ht="16.5" thickBot="1" x14ac:dyDescent="0.35">
      <c r="A162" s="679"/>
      <c r="B162" s="47"/>
      <c r="C162" s="394"/>
      <c r="D162" s="66"/>
      <c r="E162" s="679"/>
      <c r="F162" s="202"/>
      <c r="G162" s="252"/>
      <c r="H162" s="252"/>
      <c r="I162" s="252"/>
    </row>
    <row r="163" spans="1:11" s="692" customFormat="1" ht="16.5" thickBot="1" x14ac:dyDescent="0.35">
      <c r="A163" s="1023" t="s">
        <v>309</v>
      </c>
      <c r="B163" s="157" t="s">
        <v>1489</v>
      </c>
      <c r="C163" s="1151" t="e">
        <f>C160/C161*100</f>
        <v>#DIV/0!</v>
      </c>
      <c r="D163" s="133" t="s">
        <v>210</v>
      </c>
      <c r="E163" s="158" t="e">
        <f>IF(C159="No","NOT COMPLIANT",IF(C163&gt;80,"COMPLIANT","NOT COMPLIANT"))</f>
        <v>#DIV/0!</v>
      </c>
      <c r="F163" s="211"/>
      <c r="G163" s="252"/>
      <c r="H163" s="252"/>
      <c r="I163" s="252"/>
    </row>
    <row r="164" spans="1:11" s="692" customFormat="1" ht="16.5" thickBot="1" x14ac:dyDescent="0.35">
      <c r="C164" s="21"/>
      <c r="G164" s="252"/>
      <c r="H164" s="252"/>
      <c r="I164" s="252"/>
    </row>
    <row r="165" spans="1:11" s="692" customFormat="1" ht="16.5" thickBot="1" x14ac:dyDescent="0.35">
      <c r="A165" s="860" t="s">
        <v>307</v>
      </c>
      <c r="B165" s="19" t="s">
        <v>229</v>
      </c>
      <c r="C165" s="500" t="s">
        <v>232</v>
      </c>
      <c r="D165" s="19" t="s">
        <v>342</v>
      </c>
      <c r="E165" s="19" t="s">
        <v>1265</v>
      </c>
      <c r="F165" s="195" t="s">
        <v>344</v>
      </c>
      <c r="G165" s="252"/>
      <c r="H165" s="252"/>
      <c r="I165" s="252"/>
    </row>
    <row r="166" spans="1:11" s="692" customFormat="1" ht="81.75" thickBot="1" x14ac:dyDescent="0.35">
      <c r="A166" s="6" t="s">
        <v>1297</v>
      </c>
      <c r="B166" s="6" t="s">
        <v>1491</v>
      </c>
      <c r="C166" s="506" t="s">
        <v>1492</v>
      </c>
      <c r="D166" s="1421" t="s">
        <v>803</v>
      </c>
      <c r="E166" s="122"/>
      <c r="F166" s="429" t="s">
        <v>1493</v>
      </c>
      <c r="G166" s="252"/>
      <c r="H166" s="252"/>
      <c r="I166" s="252"/>
    </row>
    <row r="167" spans="1:11" s="692" customFormat="1" ht="16.5" thickBot="1" x14ac:dyDescent="0.35">
      <c r="A167" s="991" t="s">
        <v>1494</v>
      </c>
      <c r="B167" s="42" t="s">
        <v>229</v>
      </c>
      <c r="C167" s="492"/>
      <c r="D167" s="3"/>
      <c r="E167" s="3"/>
      <c r="F167" s="272"/>
      <c r="G167" s="252"/>
      <c r="I167" s="252"/>
    </row>
    <row r="168" spans="1:11" s="692" customFormat="1" ht="16.5" thickBot="1" x14ac:dyDescent="0.35">
      <c r="A168" s="38"/>
      <c r="B168" s="38" t="s">
        <v>1495</v>
      </c>
      <c r="C168" s="184">
        <f>'Input Data'!$E$89</f>
        <v>0</v>
      </c>
      <c r="D168" s="38" t="s">
        <v>586</v>
      </c>
      <c r="E168" s="38"/>
      <c r="F168" s="38"/>
      <c r="G168" s="252"/>
      <c r="I168" s="252"/>
    </row>
    <row r="169" spans="1:11" s="692" customFormat="1" ht="16.5" thickBot="1" x14ac:dyDescent="0.35">
      <c r="A169" s="38"/>
      <c r="B169" s="38" t="s">
        <v>1496</v>
      </c>
      <c r="C169" s="184">
        <f>'Input Data'!$E$91</f>
        <v>0</v>
      </c>
      <c r="D169" s="38" t="s">
        <v>586</v>
      </c>
      <c r="E169" s="38"/>
      <c r="F169" s="38"/>
      <c r="G169" s="252"/>
      <c r="I169" s="252"/>
    </row>
    <row r="170" spans="1:11" s="692" customFormat="1" ht="16.5" thickBot="1" x14ac:dyDescent="0.35">
      <c r="A170" s="38"/>
      <c r="B170" s="38" t="s">
        <v>595</v>
      </c>
      <c r="C170" s="184">
        <f>'Input Data'!$E$93</f>
        <v>0</v>
      </c>
      <c r="D170" s="38" t="s">
        <v>586</v>
      </c>
      <c r="E170" s="38"/>
      <c r="F170" s="38"/>
      <c r="G170" s="252"/>
      <c r="I170" s="252"/>
    </row>
    <row r="171" spans="1:11" s="692" customFormat="1" ht="16.5" thickBot="1" x14ac:dyDescent="0.35">
      <c r="A171" s="38"/>
      <c r="B171" s="38" t="s">
        <v>1497</v>
      </c>
      <c r="C171" s="184">
        <f>'Input Data'!$E$95</f>
        <v>0</v>
      </c>
      <c r="D171" s="38" t="s">
        <v>586</v>
      </c>
      <c r="E171" s="38"/>
      <c r="F171" s="38"/>
      <c r="G171" s="252"/>
      <c r="I171" s="252"/>
    </row>
    <row r="172" spans="1:11" s="692" customFormat="1" ht="16.5" thickBot="1" x14ac:dyDescent="0.35">
      <c r="A172" s="38"/>
      <c r="B172" s="38"/>
      <c r="C172" s="543"/>
      <c r="D172" s="38"/>
      <c r="E172" s="38"/>
      <c r="F172" s="38"/>
      <c r="G172" s="252"/>
      <c r="I172" s="252"/>
    </row>
    <row r="173" spans="1:11" s="692" customFormat="1" ht="16.5" thickBot="1" x14ac:dyDescent="0.35">
      <c r="A173" s="871" t="s">
        <v>310</v>
      </c>
      <c r="B173" s="131" t="s">
        <v>1491</v>
      </c>
      <c r="C173" s="519">
        <f>SUM(C168:C172)</f>
        <v>0</v>
      </c>
      <c r="D173" s="128" t="s">
        <v>1498</v>
      </c>
      <c r="E173" s="428" t="str">
        <f>IF(C173&lt;5,"COMPLIANT","NOT COMPLIANT")</f>
        <v>COMPLIANT</v>
      </c>
      <c r="F173" s="273"/>
      <c r="G173" s="252"/>
      <c r="I173" s="252"/>
    </row>
    <row r="174" spans="1:11" s="692" customFormat="1" ht="16.5" thickBot="1" x14ac:dyDescent="0.35">
      <c r="C174" s="21"/>
      <c r="I174" s="252"/>
    </row>
    <row r="175" spans="1:11" s="692" customFormat="1" ht="15.75" thickBot="1" x14ac:dyDescent="0.3">
      <c r="A175" s="860" t="s">
        <v>307</v>
      </c>
      <c r="B175" s="19" t="s">
        <v>229</v>
      </c>
      <c r="C175" s="500" t="s">
        <v>232</v>
      </c>
      <c r="D175" s="19" t="s">
        <v>342</v>
      </c>
      <c r="E175" s="19" t="s">
        <v>1265</v>
      </c>
      <c r="F175" s="195" t="s">
        <v>344</v>
      </c>
    </row>
    <row r="176" spans="1:11" ht="54.75" thickBot="1" x14ac:dyDescent="0.3">
      <c r="A176" s="6" t="s">
        <v>1297</v>
      </c>
      <c r="B176" s="6" t="s">
        <v>802</v>
      </c>
      <c r="C176" s="528">
        <v>0</v>
      </c>
      <c r="D176" s="1421" t="s">
        <v>803</v>
      </c>
      <c r="E176" s="122"/>
      <c r="F176" s="686" t="s">
        <v>804</v>
      </c>
      <c r="G176" s="692"/>
      <c r="H176" s="692"/>
      <c r="I176" s="692"/>
      <c r="J176" s="692"/>
      <c r="K176" s="692"/>
    </row>
    <row r="177" spans="1:11" s="692" customFormat="1" ht="15.75" thickBot="1" x14ac:dyDescent="0.3">
      <c r="A177" s="991" t="s">
        <v>1499</v>
      </c>
      <c r="B177" s="42" t="s">
        <v>229</v>
      </c>
      <c r="C177" s="492"/>
      <c r="D177" s="3"/>
      <c r="E177" s="3"/>
      <c r="F177" s="272"/>
    </row>
    <row r="178" spans="1:11" s="692" customFormat="1" ht="15.75" thickBot="1" x14ac:dyDescent="0.3">
      <c r="A178" s="871" t="s">
        <v>311</v>
      </c>
      <c r="B178" s="131" t="s">
        <v>802</v>
      </c>
      <c r="C178" s="536">
        <f>'Input Data'!$E$172</f>
        <v>0</v>
      </c>
      <c r="D178" s="128" t="s">
        <v>1498</v>
      </c>
      <c r="E178" s="428" t="str">
        <f>IF(C178&lt;=C176,"COMPLIANT","NOT COMPLIANT")</f>
        <v>COMPLIANT</v>
      </c>
      <c r="F178" s="273"/>
    </row>
    <row r="179" spans="1:11" s="692" customFormat="1" ht="15.75" thickBot="1" x14ac:dyDescent="0.3">
      <c r="C179" s="21"/>
    </row>
    <row r="180" spans="1:11" s="692" customFormat="1" ht="15.75" thickBot="1" x14ac:dyDescent="0.3">
      <c r="A180" s="860" t="s">
        <v>313</v>
      </c>
      <c r="B180" s="19" t="s">
        <v>229</v>
      </c>
      <c r="C180" s="500" t="s">
        <v>232</v>
      </c>
      <c r="D180" s="19" t="s">
        <v>342</v>
      </c>
      <c r="E180" s="19" t="s">
        <v>1265</v>
      </c>
      <c r="F180" s="195" t="s">
        <v>344</v>
      </c>
    </row>
    <row r="181" spans="1:11" s="692" customFormat="1" ht="41.25" thickBot="1" x14ac:dyDescent="0.3">
      <c r="A181" s="91" t="s">
        <v>1429</v>
      </c>
      <c r="B181" s="6" t="s">
        <v>1430</v>
      </c>
      <c r="C181" s="531">
        <v>100</v>
      </c>
      <c r="D181" s="1421" t="s">
        <v>210</v>
      </c>
      <c r="E181" s="96"/>
      <c r="F181" s="199"/>
    </row>
    <row r="182" spans="1:11" s="692" customFormat="1" ht="15.75" thickBot="1" x14ac:dyDescent="0.3">
      <c r="A182" s="1006" t="s">
        <v>1431</v>
      </c>
      <c r="B182" s="156" t="s">
        <v>229</v>
      </c>
      <c r="C182" s="492"/>
      <c r="D182" s="9"/>
      <c r="E182" s="3"/>
      <c r="F182" s="222"/>
    </row>
    <row r="183" spans="1:11" s="692" customFormat="1" ht="15.75" thickBot="1" x14ac:dyDescent="0.3">
      <c r="A183" s="98"/>
      <c r="B183" s="100"/>
      <c r="C183" s="501"/>
      <c r="D183" s="24"/>
      <c r="E183" s="37"/>
      <c r="F183" s="223"/>
    </row>
    <row r="184" spans="1:11" s="692" customFormat="1" ht="15.75" thickBot="1" x14ac:dyDescent="0.3">
      <c r="A184" s="98"/>
      <c r="B184" s="683" t="s">
        <v>807</v>
      </c>
      <c r="C184" s="1122">
        <f>'Input Data'!$E$173</f>
        <v>0</v>
      </c>
      <c r="D184" s="24" t="s">
        <v>210</v>
      </c>
      <c r="E184" s="37"/>
      <c r="F184" s="223"/>
    </row>
    <row r="185" spans="1:11" s="692" customFormat="1" ht="15.75" thickBot="1" x14ac:dyDescent="0.3">
      <c r="A185" s="679"/>
      <c r="B185" s="47"/>
      <c r="C185" s="394"/>
      <c r="D185" s="66"/>
      <c r="E185" s="679"/>
      <c r="F185" s="202"/>
    </row>
    <row r="186" spans="1:11" s="692" customFormat="1" ht="41.25" thickBot="1" x14ac:dyDescent="0.3">
      <c r="A186" s="1023" t="s">
        <v>312</v>
      </c>
      <c r="B186" s="157" t="s">
        <v>1430</v>
      </c>
      <c r="C186" s="1210">
        <f>C184</f>
        <v>0</v>
      </c>
      <c r="D186" s="133" t="s">
        <v>210</v>
      </c>
      <c r="E186" s="158" t="str">
        <f>IF(C186=100,"COMPLIANT","NOT COMPLIANT")</f>
        <v>NOT COMPLIANT</v>
      </c>
      <c r="F186" s="211"/>
    </row>
    <row r="187" spans="1:11" s="692" customFormat="1" ht="15.75" thickBot="1" x14ac:dyDescent="0.3">
      <c r="C187" s="21"/>
    </row>
    <row r="188" spans="1:11" s="692" customFormat="1" ht="15.75" thickBot="1" x14ac:dyDescent="0.3">
      <c r="A188" s="860" t="s">
        <v>313</v>
      </c>
      <c r="B188" s="19" t="s">
        <v>229</v>
      </c>
      <c r="C188" s="500" t="s">
        <v>232</v>
      </c>
      <c r="D188" s="19" t="s">
        <v>342</v>
      </c>
      <c r="E188" s="19" t="s">
        <v>1265</v>
      </c>
      <c r="F188" s="195" t="s">
        <v>344</v>
      </c>
    </row>
    <row r="189" spans="1:11" s="692" customFormat="1" ht="41.25" thickBot="1" x14ac:dyDescent="0.3">
      <c r="A189" s="91" t="s">
        <v>1429</v>
      </c>
      <c r="B189" s="6" t="s">
        <v>1432</v>
      </c>
      <c r="C189" s="531">
        <v>100</v>
      </c>
      <c r="D189" s="1421" t="s">
        <v>210</v>
      </c>
      <c r="E189" s="96"/>
      <c r="F189" s="199"/>
    </row>
    <row r="190" spans="1:11" s="692" customFormat="1" ht="15.75" thickBot="1" x14ac:dyDescent="0.3">
      <c r="A190" s="1006" t="s">
        <v>1433</v>
      </c>
      <c r="B190" s="156" t="s">
        <v>229</v>
      </c>
      <c r="C190" s="492"/>
      <c r="D190" s="9"/>
      <c r="E190" s="3"/>
      <c r="F190" s="222"/>
    </row>
    <row r="191" spans="1:11" ht="15.75" thickBot="1" x14ac:dyDescent="0.3">
      <c r="A191" s="98"/>
      <c r="B191" s="100"/>
      <c r="C191" s="501"/>
      <c r="D191" s="24"/>
      <c r="E191" s="37"/>
      <c r="F191" s="223"/>
      <c r="G191" s="692"/>
      <c r="H191" s="692"/>
      <c r="I191" s="692"/>
      <c r="J191" s="692"/>
      <c r="K191" s="692"/>
    </row>
    <row r="192" spans="1:11" ht="15.75" thickBot="1" x14ac:dyDescent="0.3">
      <c r="A192" s="98"/>
      <c r="B192" s="683" t="s">
        <v>1500</v>
      </c>
      <c r="C192" s="1122" t="str">
        <f>'Input Data'!$E$174</f>
        <v>Yes</v>
      </c>
      <c r="D192" s="24"/>
      <c r="E192" s="37"/>
      <c r="F192" s="223"/>
      <c r="G192" s="692"/>
      <c r="H192" s="692"/>
      <c r="I192" s="692"/>
      <c r="J192" s="692"/>
      <c r="K192" s="692"/>
    </row>
    <row r="193" spans="1:11" ht="15.75" thickBot="1" x14ac:dyDescent="0.3">
      <c r="A193" s="679"/>
      <c r="B193" s="47"/>
      <c r="C193" s="394"/>
      <c r="D193" s="66"/>
      <c r="E193" s="679"/>
      <c r="F193" s="202"/>
      <c r="G193" s="692"/>
      <c r="H193" s="692"/>
      <c r="I193" s="692"/>
      <c r="J193" s="692"/>
      <c r="K193" s="692"/>
    </row>
    <row r="194" spans="1:11" ht="27.75" thickBot="1" x14ac:dyDescent="0.3">
      <c r="A194" s="1023" t="s">
        <v>314</v>
      </c>
      <c r="B194" s="157" t="s">
        <v>1432</v>
      </c>
      <c r="C194" s="530">
        <f>IF(C192="Yes", 100,"No")</f>
        <v>100</v>
      </c>
      <c r="D194" s="133"/>
      <c r="E194" s="158" t="str">
        <f>IF(C194=100,"COMPLIANT","NOT COMPLIANT")</f>
        <v>COMPLIANT</v>
      </c>
      <c r="F194" s="211"/>
      <c r="G194" s="692"/>
      <c r="H194" s="692"/>
      <c r="I194" s="692"/>
      <c r="J194" s="692"/>
      <c r="K194" s="692"/>
    </row>
    <row r="195" spans="1:11" x14ac:dyDescent="0.25">
      <c r="A195" s="12"/>
      <c r="B195" s="255"/>
      <c r="C195" s="1032"/>
      <c r="D195" s="33"/>
      <c r="E195" s="757"/>
      <c r="F195" s="1031"/>
      <c r="G195" s="692"/>
      <c r="H195" s="692"/>
      <c r="I195" s="692"/>
      <c r="J195" s="692"/>
      <c r="K195" s="692"/>
    </row>
    <row r="196" spans="1:11" x14ac:dyDescent="0.25">
      <c r="A196" s="287"/>
      <c r="B196" s="1"/>
      <c r="C196" s="1033"/>
      <c r="D196" s="288"/>
      <c r="E196" s="134"/>
      <c r="F196" s="135"/>
      <c r="G196" s="692"/>
      <c r="H196" s="692"/>
      <c r="I196" s="692"/>
      <c r="J196" s="692"/>
      <c r="K196" s="692"/>
    </row>
    <row r="197" spans="1:11" ht="15.75" x14ac:dyDescent="0.3">
      <c r="A197" s="4" t="s">
        <v>201</v>
      </c>
      <c r="B197" s="4"/>
      <c r="C197" s="540"/>
      <c r="D197" s="4"/>
      <c r="E197" s="4"/>
      <c r="F197" s="4"/>
      <c r="G197" s="692"/>
      <c r="H197" s="692"/>
      <c r="I197" s="692"/>
      <c r="J197" s="692"/>
      <c r="K197" s="692"/>
    </row>
    <row r="198" spans="1:11" ht="15.75" x14ac:dyDescent="0.3">
      <c r="A198" s="4" t="s">
        <v>202</v>
      </c>
      <c r="B198" s="188"/>
      <c r="C198" s="247"/>
      <c r="D198" s="188"/>
      <c r="E198" s="4"/>
      <c r="F198" s="4"/>
      <c r="G198" s="692"/>
      <c r="H198" s="692"/>
      <c r="I198" s="692"/>
      <c r="J198" s="692"/>
      <c r="K198" s="692"/>
    </row>
    <row r="199" spans="1:11" ht="15.75" x14ac:dyDescent="0.3">
      <c r="A199" s="248"/>
      <c r="B199" s="188"/>
      <c r="C199" s="247"/>
      <c r="D199" s="188"/>
      <c r="E199" s="4"/>
      <c r="F199" s="4"/>
      <c r="G199" s="692"/>
      <c r="H199" s="692"/>
      <c r="I199" s="692"/>
      <c r="J199" s="692"/>
      <c r="K199" s="692"/>
    </row>
    <row r="200" spans="1:11" ht="15.75" x14ac:dyDescent="0.3">
      <c r="A200" s="4"/>
      <c r="B200" s="4"/>
      <c r="C200" s="247"/>
      <c r="D200" s="4"/>
      <c r="E200" s="4"/>
      <c r="F200" s="4"/>
      <c r="G200" s="692"/>
      <c r="H200" s="692"/>
      <c r="I200" s="692"/>
      <c r="J200" s="692"/>
      <c r="K200" s="692"/>
    </row>
    <row r="201" spans="1:11" x14ac:dyDescent="0.25">
      <c r="A201" s="692"/>
      <c r="B201" s="692"/>
      <c r="D201" s="692"/>
      <c r="E201" s="692"/>
      <c r="F201" s="692"/>
      <c r="G201" s="692"/>
      <c r="H201" s="692"/>
      <c r="I201" s="692"/>
      <c r="J201" s="692"/>
      <c r="K201" s="692"/>
    </row>
    <row r="202" spans="1:11" x14ac:dyDescent="0.25">
      <c r="A202" s="692"/>
      <c r="B202" s="692"/>
      <c r="D202" s="692"/>
      <c r="E202" s="692"/>
      <c r="F202" s="692"/>
      <c r="G202" s="692"/>
      <c r="H202" s="692"/>
      <c r="I202" s="692"/>
      <c r="J202" s="692"/>
      <c r="K202" s="692"/>
    </row>
    <row r="203" spans="1:11" x14ac:dyDescent="0.25">
      <c r="A203" s="692"/>
      <c r="B203" s="692"/>
      <c r="D203" s="692"/>
      <c r="E203" s="692"/>
      <c r="F203" s="692"/>
      <c r="G203" s="692"/>
      <c r="H203" s="692"/>
      <c r="I203" s="692"/>
      <c r="J203" s="692"/>
      <c r="K203" s="692"/>
    </row>
    <row r="204" spans="1:11" x14ac:dyDescent="0.25">
      <c r="A204" s="692"/>
      <c r="B204" s="692"/>
      <c r="D204" s="692"/>
      <c r="E204" s="692"/>
      <c r="F204" s="692"/>
      <c r="G204" s="692"/>
      <c r="H204" s="692"/>
      <c r="I204" s="692"/>
      <c r="J204" s="692"/>
      <c r="K204" s="692"/>
    </row>
    <row r="205" spans="1:11" x14ac:dyDescent="0.25">
      <c r="A205" s="692"/>
      <c r="B205" s="692"/>
      <c r="D205" s="692"/>
      <c r="E205" s="692"/>
      <c r="F205" s="692"/>
      <c r="G205" s="692"/>
      <c r="H205" s="692"/>
      <c r="I205" s="692"/>
      <c r="J205" s="692"/>
      <c r="K205" s="692"/>
    </row>
    <row r="206" spans="1:11" x14ac:dyDescent="0.25">
      <c r="A206" s="692"/>
      <c r="B206" s="692"/>
      <c r="D206" s="692"/>
      <c r="E206" s="692"/>
      <c r="F206" s="692"/>
      <c r="G206" s="692"/>
      <c r="H206" s="692"/>
      <c r="I206" s="692"/>
      <c r="J206" s="692"/>
      <c r="K206" s="692"/>
    </row>
    <row r="207" spans="1:11" s="692" customFormat="1" x14ac:dyDescent="0.25">
      <c r="C207" s="22"/>
    </row>
    <row r="208" spans="1:11" x14ac:dyDescent="0.25">
      <c r="A208" s="692"/>
      <c r="B208" s="692"/>
      <c r="D208" s="692"/>
      <c r="E208" s="692"/>
      <c r="F208" s="692"/>
      <c r="G208" s="692"/>
      <c r="H208" s="692"/>
      <c r="I208" s="692"/>
      <c r="J208" s="692"/>
      <c r="K208" s="692"/>
    </row>
    <row r="209" spans="7:11" x14ac:dyDescent="0.25">
      <c r="G209" s="692"/>
      <c r="H209" s="692"/>
      <c r="I209" s="692"/>
      <c r="J209" s="692"/>
      <c r="K209" s="692"/>
    </row>
    <row r="210" spans="7:11" x14ac:dyDescent="0.25">
      <c r="G210" s="692"/>
      <c r="H210" s="692"/>
      <c r="I210" s="692"/>
      <c r="J210" s="692"/>
      <c r="K210" s="692"/>
    </row>
    <row r="211" spans="7:11" x14ac:dyDescent="0.25">
      <c r="G211" s="692"/>
      <c r="H211" s="692"/>
      <c r="I211" s="692"/>
      <c r="J211" s="692"/>
      <c r="K211" s="692"/>
    </row>
    <row r="212" spans="7:11" x14ac:dyDescent="0.25">
      <c r="G212" s="692"/>
      <c r="H212" s="692"/>
      <c r="I212" s="692"/>
      <c r="J212" s="692"/>
      <c r="K212" s="692"/>
    </row>
    <row r="213" spans="7:11" x14ac:dyDescent="0.25">
      <c r="G213" s="692"/>
      <c r="H213" s="692"/>
      <c r="I213" s="692"/>
      <c r="J213" s="692"/>
      <c r="K213" s="692"/>
    </row>
    <row r="214" spans="7:11" x14ac:dyDescent="0.25">
      <c r="G214" s="692"/>
      <c r="H214" s="692"/>
      <c r="I214" s="692"/>
      <c r="J214" s="692"/>
      <c r="K214" s="692"/>
    </row>
    <row r="215" spans="7:11" x14ac:dyDescent="0.25">
      <c r="G215" s="692"/>
      <c r="H215" s="692"/>
      <c r="I215" s="692"/>
      <c r="J215" s="692"/>
      <c r="K215" s="692"/>
    </row>
    <row r="216" spans="7:11" x14ac:dyDescent="0.25">
      <c r="G216" s="692"/>
      <c r="H216" s="692"/>
      <c r="I216" s="692"/>
      <c r="J216" s="692"/>
      <c r="K216" s="692"/>
    </row>
    <row r="217" spans="7:11" x14ac:dyDescent="0.25">
      <c r="G217" s="692"/>
      <c r="H217" s="692"/>
      <c r="I217" s="692"/>
      <c r="J217" s="692"/>
      <c r="K217" s="692"/>
    </row>
    <row r="218" spans="7:11" x14ac:dyDescent="0.25">
      <c r="G218" s="692"/>
      <c r="H218" s="692"/>
      <c r="I218" s="692"/>
      <c r="J218" s="692"/>
      <c r="K218" s="692"/>
    </row>
    <row r="219" spans="7:11" x14ac:dyDescent="0.25">
      <c r="G219" s="692"/>
      <c r="H219" s="692"/>
      <c r="I219" s="692"/>
      <c r="J219" s="692"/>
      <c r="K219" s="692"/>
    </row>
    <row r="220" spans="7:11" x14ac:dyDescent="0.25">
      <c r="G220" s="692"/>
      <c r="H220" s="692"/>
      <c r="I220" s="692"/>
      <c r="J220" s="692"/>
      <c r="K220" s="692"/>
    </row>
    <row r="221" spans="7:11" x14ac:dyDescent="0.25">
      <c r="G221" s="692"/>
      <c r="H221" s="692"/>
      <c r="I221" s="692"/>
      <c r="J221" s="692"/>
      <c r="K221" s="692"/>
    </row>
    <row r="222" spans="7:11" x14ac:dyDescent="0.25">
      <c r="G222" s="692"/>
      <c r="H222" s="692"/>
      <c r="I222" s="692"/>
      <c r="J222" s="692"/>
      <c r="K222" s="692"/>
    </row>
    <row r="223" spans="7:11" x14ac:dyDescent="0.25">
      <c r="G223" s="692"/>
      <c r="H223" s="692"/>
      <c r="I223" s="692"/>
      <c r="J223" s="692"/>
      <c r="K223" s="692"/>
    </row>
    <row r="224" spans="7:11" x14ac:dyDescent="0.25">
      <c r="G224" s="692"/>
      <c r="H224" s="692"/>
      <c r="I224" s="692"/>
      <c r="J224" s="692"/>
      <c r="K224" s="692"/>
    </row>
  </sheetData>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R812"/>
  <sheetViews>
    <sheetView showGridLines="0" topLeftCell="A149" zoomScale="85" zoomScaleNormal="85" workbookViewId="0">
      <selection activeCell="C181" sqref="C181"/>
    </sheetView>
  </sheetViews>
  <sheetFormatPr defaultColWidth="9.140625" defaultRowHeight="15" x14ac:dyDescent="0.25"/>
  <cols>
    <col min="1" max="1" width="33.28515625" customWidth="1"/>
    <col min="2" max="2" width="47.42578125" customWidth="1"/>
    <col min="3" max="3" width="19" style="22" bestFit="1" customWidth="1"/>
    <col min="4" max="4" width="16.28515625" customWidth="1"/>
    <col min="5" max="5" width="15.42578125" customWidth="1"/>
    <col min="6" max="6" width="49.7109375" customWidth="1"/>
    <col min="7" max="7" width="48.42578125" customWidth="1"/>
  </cols>
  <sheetData>
    <row r="1" spans="1:6" s="727" customFormat="1" ht="78.75" customHeight="1" thickBot="1" x14ac:dyDescent="0.3">
      <c r="A1" s="729" t="s">
        <v>1501</v>
      </c>
      <c r="B1" s="729" t="s">
        <v>1502</v>
      </c>
      <c r="C1" s="22"/>
    </row>
    <row r="2" spans="1:6" s="727" customFormat="1" ht="15.6" customHeight="1" thickBot="1" x14ac:dyDescent="0.3">
      <c r="A2" s="860" t="s">
        <v>278</v>
      </c>
      <c r="B2" s="19" t="s">
        <v>229</v>
      </c>
      <c r="C2" s="500" t="s">
        <v>232</v>
      </c>
      <c r="D2" s="19" t="s">
        <v>342</v>
      </c>
      <c r="E2" s="19" t="s">
        <v>1265</v>
      </c>
      <c r="F2" s="195" t="s">
        <v>344</v>
      </c>
    </row>
    <row r="3" spans="1:6" s="727" customFormat="1" ht="54.75" thickBot="1" x14ac:dyDescent="0.3">
      <c r="A3" s="6" t="s">
        <v>1503</v>
      </c>
      <c r="B3" s="679" t="s">
        <v>280</v>
      </c>
      <c r="C3" s="394" t="s">
        <v>1381</v>
      </c>
      <c r="D3" s="1423" t="s">
        <v>210</v>
      </c>
      <c r="E3" s="1423"/>
      <c r="F3" s="686" t="s">
        <v>1504</v>
      </c>
    </row>
    <row r="4" spans="1:6" s="727" customFormat="1" ht="15.6" customHeight="1" thickBot="1" x14ac:dyDescent="0.3">
      <c r="A4" s="1006" t="s">
        <v>1505</v>
      </c>
      <c r="B4" s="156" t="s">
        <v>229</v>
      </c>
      <c r="C4" s="492">
        <f>'Input Data'!$E$8</f>
        <v>0</v>
      </c>
      <c r="D4" s="3"/>
      <c r="E4" s="3"/>
      <c r="F4" s="222"/>
    </row>
    <row r="5" spans="1:6" s="727" customFormat="1" ht="15.6" customHeight="1" thickBot="1" x14ac:dyDescent="0.3">
      <c r="A5" s="38"/>
      <c r="B5" s="37"/>
      <c r="C5" s="501"/>
      <c r="D5" s="37"/>
      <c r="E5" s="37"/>
      <c r="F5" s="223"/>
    </row>
    <row r="6" spans="1:6" s="727" customFormat="1" ht="15.6" customHeight="1" thickBot="1" x14ac:dyDescent="0.3">
      <c r="A6" s="679"/>
      <c r="B6" s="679" t="s">
        <v>555</v>
      </c>
      <c r="C6" s="385">
        <f>'Input Data'!$E$279</f>
        <v>0</v>
      </c>
      <c r="D6" s="66" t="s">
        <v>210</v>
      </c>
      <c r="E6" s="679"/>
      <c r="F6" s="202"/>
    </row>
    <row r="7" spans="1:6" s="727" customFormat="1" ht="15.6" customHeight="1" thickBot="1" x14ac:dyDescent="0.3">
      <c r="A7" s="679"/>
      <c r="B7" s="679" t="s">
        <v>557</v>
      </c>
      <c r="C7" s="385">
        <f>'Input Data'!$E$280</f>
        <v>0</v>
      </c>
      <c r="D7" s="66" t="s">
        <v>210</v>
      </c>
      <c r="E7" s="679"/>
      <c r="F7" s="202"/>
    </row>
    <row r="8" spans="1:6" s="727" customFormat="1" ht="15.6" customHeight="1" thickBot="1" x14ac:dyDescent="0.3">
      <c r="A8" s="679"/>
      <c r="B8" s="679" t="s">
        <v>1506</v>
      </c>
      <c r="C8" s="390" t="e">
        <f>(0.98)*(100-20*C6/(100-C6))*(1.5-50/C7)</f>
        <v>#DIV/0!</v>
      </c>
      <c r="D8" s="104" t="s">
        <v>210</v>
      </c>
      <c r="E8" s="47"/>
      <c r="F8" s="686" t="s">
        <v>1507</v>
      </c>
    </row>
    <row r="9" spans="1:6" s="727" customFormat="1" ht="15.6" customHeight="1" thickBot="1" x14ac:dyDescent="0.3">
      <c r="A9" s="679"/>
      <c r="B9" s="679" t="s">
        <v>559</v>
      </c>
      <c r="C9" s="385">
        <f>'Input Data'!$E$281</f>
        <v>0</v>
      </c>
      <c r="D9" s="104" t="s">
        <v>210</v>
      </c>
      <c r="E9" s="47"/>
      <c r="F9" s="209"/>
    </row>
    <row r="10" spans="1:6" s="727" customFormat="1" ht="15.6" customHeight="1" thickBot="1" x14ac:dyDescent="0.3">
      <c r="A10" s="679"/>
      <c r="B10" s="679"/>
      <c r="C10" s="502"/>
      <c r="D10" s="66"/>
      <c r="E10" s="679"/>
      <c r="F10" s="202"/>
    </row>
    <row r="11" spans="1:6" s="727" customFormat="1" ht="15.6" customHeight="1" thickBot="1" x14ac:dyDescent="0.3">
      <c r="A11" s="873" t="s">
        <v>279</v>
      </c>
      <c r="B11" s="128" t="s">
        <v>280</v>
      </c>
      <c r="C11" s="391" t="e">
        <f>C8*C9/100</f>
        <v>#DIV/0!</v>
      </c>
      <c r="D11" s="133" t="s">
        <v>210</v>
      </c>
      <c r="E11" s="16" t="str">
        <f>IF(OR('Input Data'!E16=0,C9=0),"",IF(C11&gt;10,"COMPLIANT","NOT COMPLIANT"))</f>
        <v/>
      </c>
      <c r="F11" s="206"/>
    </row>
    <row r="12" spans="1:6" s="727" customFormat="1" ht="15.6" customHeight="1" thickBot="1" x14ac:dyDescent="0.3">
      <c r="A12" s="729"/>
      <c r="B12" s="729"/>
      <c r="C12" s="22"/>
    </row>
    <row r="13" spans="1:6" s="727" customFormat="1" ht="15.6" customHeight="1" thickBot="1" x14ac:dyDescent="0.3">
      <c r="A13" s="860" t="s">
        <v>278</v>
      </c>
      <c r="B13" s="19" t="s">
        <v>229</v>
      </c>
      <c r="C13" s="500" t="s">
        <v>232</v>
      </c>
      <c r="D13" s="19" t="s">
        <v>342</v>
      </c>
      <c r="E13" s="19" t="s">
        <v>1265</v>
      </c>
      <c r="F13" s="195" t="s">
        <v>344</v>
      </c>
    </row>
    <row r="14" spans="1:6" s="727" customFormat="1" ht="54.75" thickBot="1" x14ac:dyDescent="0.3">
      <c r="A14" s="6" t="s">
        <v>1503</v>
      </c>
      <c r="B14" s="6" t="s">
        <v>1508</v>
      </c>
      <c r="C14" s="394" t="s">
        <v>1509</v>
      </c>
      <c r="D14" s="1423" t="s">
        <v>1510</v>
      </c>
      <c r="E14" s="35"/>
      <c r="F14" s="199" t="s">
        <v>1511</v>
      </c>
    </row>
    <row r="15" spans="1:6" s="727" customFormat="1" ht="15.6" customHeight="1" thickBot="1" x14ac:dyDescent="0.3">
      <c r="A15" s="1006" t="s">
        <v>1512</v>
      </c>
      <c r="B15" s="156" t="s">
        <v>229</v>
      </c>
      <c r="C15" s="492"/>
      <c r="D15" s="3"/>
      <c r="E15" s="3"/>
      <c r="F15" s="222"/>
    </row>
    <row r="16" spans="1:6" s="727" customFormat="1" ht="15.6" customHeight="1" thickBot="1" x14ac:dyDescent="0.3">
      <c r="A16" s="38"/>
      <c r="B16" s="37"/>
      <c r="C16" s="501"/>
      <c r="D16" s="90"/>
      <c r="E16" s="37"/>
      <c r="F16" s="223"/>
    </row>
    <row r="17" spans="1:6" s="727" customFormat="1" ht="15.6" customHeight="1" thickBot="1" x14ac:dyDescent="0.3">
      <c r="A17" s="38"/>
      <c r="B17" s="679" t="s">
        <v>1008</v>
      </c>
      <c r="C17" s="385">
        <f>'Input Data'!$E$282</f>
        <v>0</v>
      </c>
      <c r="D17" s="47" t="s">
        <v>210</v>
      </c>
      <c r="E17" s="679"/>
      <c r="F17" s="686" t="s">
        <v>1513</v>
      </c>
    </row>
    <row r="18" spans="1:6" s="727" customFormat="1" ht="15.6" customHeight="1" x14ac:dyDescent="0.25">
      <c r="A18" s="38"/>
      <c r="B18" s="679"/>
      <c r="C18" s="504"/>
      <c r="D18" s="47"/>
      <c r="E18" s="679"/>
      <c r="F18" s="207"/>
    </row>
    <row r="19" spans="1:6" s="727" customFormat="1" ht="15.6" customHeight="1" thickBot="1" x14ac:dyDescent="0.3">
      <c r="A19" s="679"/>
      <c r="B19" s="679" t="s">
        <v>559</v>
      </c>
      <c r="C19" s="504">
        <f>'P3 Mill'!C9</f>
        <v>0</v>
      </c>
      <c r="D19" s="679" t="s">
        <v>210</v>
      </c>
      <c r="E19" s="8"/>
      <c r="F19" s="203"/>
    </row>
    <row r="20" spans="1:6" s="727" customFormat="1" ht="15.6" customHeight="1" thickBot="1" x14ac:dyDescent="0.3">
      <c r="A20" s="679"/>
      <c r="B20" s="679" t="s">
        <v>1514</v>
      </c>
      <c r="C20" s="385">
        <f>'Input Data'!$E$283</f>
        <v>0</v>
      </c>
      <c r="D20" s="679" t="s">
        <v>210</v>
      </c>
      <c r="E20" s="8"/>
      <c r="F20" s="209" t="s">
        <v>566</v>
      </c>
    </row>
    <row r="21" spans="1:6" s="727" customFormat="1" ht="15.6" customHeight="1" x14ac:dyDescent="0.25">
      <c r="A21" s="679"/>
      <c r="B21" s="679" t="s">
        <v>1008</v>
      </c>
      <c r="C21" s="390">
        <f>IF(C17=0,C19/0.95+C20/100*C19,C17)</f>
        <v>0</v>
      </c>
      <c r="D21" s="679" t="s">
        <v>210</v>
      </c>
      <c r="E21" s="679"/>
      <c r="F21" s="202"/>
    </row>
    <row r="22" spans="1:6" s="727" customFormat="1" ht="15.6" customHeight="1" thickBot="1" x14ac:dyDescent="0.3">
      <c r="A22" s="679"/>
      <c r="B22" s="679"/>
      <c r="C22" s="390"/>
      <c r="D22" s="679"/>
      <c r="E22" s="679"/>
      <c r="F22" s="202"/>
    </row>
    <row r="23" spans="1:6" s="727" customFormat="1" ht="15.6" customHeight="1" thickBot="1" x14ac:dyDescent="0.3">
      <c r="A23" s="873" t="s">
        <v>281</v>
      </c>
      <c r="B23" s="131" t="s">
        <v>1508</v>
      </c>
      <c r="C23" s="391">
        <f>C21*0.905*10</f>
        <v>0</v>
      </c>
      <c r="D23" s="132" t="s">
        <v>1510</v>
      </c>
      <c r="E23" s="16" t="str">
        <f>IF('Input Data'!E17=0,"",IF(C23&gt;120,"COMPLIANT","NOT COMPLIANT"))</f>
        <v/>
      </c>
      <c r="F23" s="224"/>
    </row>
    <row r="24" spans="1:6" s="727" customFormat="1" ht="15.6" customHeight="1" x14ac:dyDescent="0.25">
      <c r="A24" s="729"/>
      <c r="B24" s="729"/>
      <c r="C24" s="22"/>
    </row>
    <row r="25" spans="1:6" s="727" customFormat="1" ht="15.6" customHeight="1" thickBot="1" x14ac:dyDescent="0.3">
      <c r="A25" s="729"/>
      <c r="B25" s="729"/>
      <c r="C25" s="22"/>
    </row>
    <row r="26" spans="1:6" s="727" customFormat="1" ht="39.950000000000003" customHeight="1" thickBot="1" x14ac:dyDescent="0.3">
      <c r="A26" s="181" t="s">
        <v>278</v>
      </c>
      <c r="B26" s="153" t="s">
        <v>229</v>
      </c>
      <c r="C26" s="544" t="s">
        <v>232</v>
      </c>
      <c r="D26" s="153" t="s">
        <v>342</v>
      </c>
      <c r="E26" s="153" t="s">
        <v>231</v>
      </c>
      <c r="F26" s="195" t="s">
        <v>344</v>
      </c>
    </row>
    <row r="27" spans="1:6" s="727" customFormat="1" ht="61.5" customHeight="1" thickBot="1" x14ac:dyDescent="0.3">
      <c r="A27" s="65" t="s">
        <v>1503</v>
      </c>
      <c r="B27" s="66" t="s">
        <v>1515</v>
      </c>
      <c r="C27" s="394" t="s">
        <v>1516</v>
      </c>
      <c r="D27" s="1423" t="s">
        <v>210</v>
      </c>
      <c r="E27" s="1423"/>
      <c r="F27" s="197" t="s">
        <v>1517</v>
      </c>
    </row>
    <row r="28" spans="1:6" s="727" customFormat="1" ht="15.6" customHeight="1" thickBot="1" x14ac:dyDescent="0.3">
      <c r="A28" s="1006" t="s">
        <v>1518</v>
      </c>
      <c r="B28" s="42" t="s">
        <v>229</v>
      </c>
      <c r="C28" s="492">
        <f>'Input Data'!$E$8</f>
        <v>0</v>
      </c>
      <c r="D28" s="3"/>
      <c r="E28" s="3"/>
      <c r="F28" s="200"/>
    </row>
    <row r="29" spans="1:6" s="727" customFormat="1" ht="15.6" customHeight="1" thickBot="1" x14ac:dyDescent="0.3">
      <c r="A29" s="38"/>
      <c r="B29" s="48"/>
      <c r="C29" s="501"/>
      <c r="D29" s="37"/>
      <c r="E29" s="37"/>
      <c r="F29" s="196"/>
    </row>
    <row r="30" spans="1:6" s="727" customFormat="1" ht="15.6" customHeight="1" thickBot="1" x14ac:dyDescent="0.3">
      <c r="A30" s="679"/>
      <c r="B30" s="47" t="s">
        <v>1014</v>
      </c>
      <c r="C30" s="385">
        <f>'Input Data'!E284</f>
        <v>0</v>
      </c>
      <c r="D30" s="47" t="s">
        <v>462</v>
      </c>
      <c r="E30" s="8"/>
      <c r="F30" s="209"/>
    </row>
    <row r="31" spans="1:6" s="727" customFormat="1" ht="15.6" customHeight="1" thickBot="1" x14ac:dyDescent="0.3">
      <c r="A31" s="679"/>
      <c r="B31" s="47" t="s">
        <v>1016</v>
      </c>
      <c r="C31" s="385">
        <f>'Input Data'!E285</f>
        <v>0</v>
      </c>
      <c r="D31" s="47" t="s">
        <v>835</v>
      </c>
      <c r="E31" s="47"/>
      <c r="F31" s="209"/>
    </row>
    <row r="32" spans="1:6" s="727" customFormat="1" ht="15.6" customHeight="1" x14ac:dyDescent="0.25">
      <c r="A32" s="679"/>
      <c r="B32" s="47" t="s">
        <v>1519</v>
      </c>
      <c r="C32" s="515">
        <f>24*C31</f>
        <v>0</v>
      </c>
      <c r="D32" s="47" t="s">
        <v>462</v>
      </c>
      <c r="E32" s="47"/>
      <c r="F32" s="209"/>
    </row>
    <row r="33" spans="1:7" s="727" customFormat="1" ht="15.6" customHeight="1" thickBot="1" x14ac:dyDescent="0.3">
      <c r="A33" s="679"/>
      <c r="B33" s="47"/>
      <c r="C33" s="515"/>
      <c r="D33" s="47"/>
      <c r="E33" s="47"/>
      <c r="F33" s="209"/>
      <c r="G33" s="692"/>
    </row>
    <row r="34" spans="1:7" s="727" customFormat="1" ht="15.6" customHeight="1" thickBot="1" x14ac:dyDescent="0.35">
      <c r="A34" s="1007" t="s">
        <v>1520</v>
      </c>
      <c r="B34" s="128" t="s">
        <v>1515</v>
      </c>
      <c r="C34" s="1038" t="e">
        <f>C30/C32*100</f>
        <v>#DIV/0!</v>
      </c>
      <c r="D34" s="132" t="s">
        <v>210</v>
      </c>
      <c r="E34" s="40" t="str">
        <f>IF(C32=0,"",IF(C34&gt;75,"COMPLIANT","NOT COMPLIANT"))</f>
        <v/>
      </c>
      <c r="F34" s="226"/>
      <c r="G34" s="692"/>
    </row>
    <row r="35" spans="1:7" s="727" customFormat="1" ht="15.6" customHeight="1" thickBot="1" x14ac:dyDescent="0.3">
      <c r="A35" s="729"/>
      <c r="B35" s="729"/>
      <c r="C35" s="22"/>
      <c r="G35" s="692"/>
    </row>
    <row r="36" spans="1:7" s="727" customFormat="1" ht="15.6" customHeight="1" thickBot="1" x14ac:dyDescent="0.3">
      <c r="A36" s="181" t="s">
        <v>278</v>
      </c>
      <c r="B36" s="153" t="s">
        <v>229</v>
      </c>
      <c r="C36" s="544" t="s">
        <v>232</v>
      </c>
      <c r="D36" s="153" t="s">
        <v>342</v>
      </c>
      <c r="E36" s="153" t="s">
        <v>231</v>
      </c>
      <c r="F36" s="195" t="s">
        <v>344</v>
      </c>
      <c r="G36" s="692"/>
    </row>
    <row r="37" spans="1:7" s="727" customFormat="1" ht="46.5" customHeight="1" thickBot="1" x14ac:dyDescent="0.3">
      <c r="A37" s="6" t="s">
        <v>1503</v>
      </c>
      <c r="B37" s="679" t="s">
        <v>1521</v>
      </c>
      <c r="C37" s="394" t="s">
        <v>1522</v>
      </c>
      <c r="D37" s="1423" t="s">
        <v>210</v>
      </c>
      <c r="E37" s="1423"/>
      <c r="F37" s="199" t="s">
        <v>1523</v>
      </c>
      <c r="G37" s="692"/>
    </row>
    <row r="38" spans="1:7" s="727" customFormat="1" ht="15.6" customHeight="1" thickBot="1" x14ac:dyDescent="0.3">
      <c r="A38" s="1006" t="s">
        <v>1524</v>
      </c>
      <c r="B38" s="42" t="s">
        <v>229</v>
      </c>
      <c r="C38" s="492">
        <f>'Input Data'!$E$8</f>
        <v>0</v>
      </c>
      <c r="D38" s="3"/>
      <c r="E38" s="3"/>
      <c r="F38" s="200"/>
      <c r="G38" s="692"/>
    </row>
    <row r="39" spans="1:7" s="727" customFormat="1" ht="15.6" customHeight="1" x14ac:dyDescent="0.25">
      <c r="A39" s="38"/>
      <c r="B39" s="48"/>
      <c r="C39" s="501"/>
      <c r="D39" s="37"/>
      <c r="E39" s="37"/>
      <c r="F39" s="196"/>
      <c r="G39" s="692"/>
    </row>
    <row r="40" spans="1:7" s="727" customFormat="1" ht="15.6" customHeight="1" thickBot="1" x14ac:dyDescent="0.3">
      <c r="A40" s="38"/>
      <c r="B40" s="679" t="s">
        <v>1326</v>
      </c>
      <c r="C40" s="516">
        <f>'Input Data'!$E$16</f>
        <v>0</v>
      </c>
      <c r="D40" s="679" t="s">
        <v>367</v>
      </c>
      <c r="E40" s="679"/>
      <c r="F40" s="203"/>
      <c r="G40" s="692"/>
    </row>
    <row r="41" spans="1:7" s="727" customFormat="1" ht="15.6" customHeight="1" thickBot="1" x14ac:dyDescent="0.3">
      <c r="A41" s="38"/>
      <c r="B41" s="679" t="s">
        <v>1029</v>
      </c>
      <c r="C41" s="385" t="str">
        <f>UPPER('Input Data'!$E$290)</f>
        <v>YES</v>
      </c>
      <c r="D41" s="679" t="s">
        <v>1525</v>
      </c>
      <c r="E41" s="679"/>
      <c r="F41" s="686" t="s">
        <v>1526</v>
      </c>
      <c r="G41" s="692"/>
    </row>
    <row r="42" spans="1:7" s="727" customFormat="1" ht="15.6" customHeight="1" x14ac:dyDescent="0.25">
      <c r="A42" s="38"/>
      <c r="B42" s="679" t="s">
        <v>1321</v>
      </c>
      <c r="C42" s="516">
        <f>'Input Data'!E15</f>
        <v>0</v>
      </c>
      <c r="D42" s="679" t="s">
        <v>367</v>
      </c>
      <c r="E42" s="679"/>
      <c r="F42" s="202"/>
      <c r="G42" s="692"/>
    </row>
    <row r="43" spans="1:7" x14ac:dyDescent="0.25">
      <c r="A43" s="38"/>
      <c r="B43" s="679" t="s">
        <v>559</v>
      </c>
      <c r="C43" s="684">
        <f>'P3 Mill'!C9</f>
        <v>0</v>
      </c>
      <c r="D43" s="47" t="s">
        <v>210</v>
      </c>
      <c r="E43" s="8"/>
      <c r="F43" s="202" t="s">
        <v>1527</v>
      </c>
      <c r="G43" s="692"/>
    </row>
    <row r="44" spans="1:7" x14ac:dyDescent="0.25">
      <c r="A44" s="38"/>
      <c r="B44" s="679" t="s">
        <v>1528</v>
      </c>
      <c r="C44" s="387" t="e">
        <f>C40/C42/C43*10000</f>
        <v>#DIV/0!</v>
      </c>
      <c r="D44" s="47" t="s">
        <v>210</v>
      </c>
      <c r="E44" s="679"/>
      <c r="F44" s="203"/>
      <c r="G44" s="692"/>
    </row>
    <row r="45" spans="1:7" ht="15.95" customHeight="1" thickBot="1" x14ac:dyDescent="0.3">
      <c r="A45" s="38"/>
      <c r="B45" s="48"/>
      <c r="C45" s="127"/>
      <c r="D45" s="37"/>
      <c r="E45" s="37"/>
      <c r="F45" s="196"/>
      <c r="G45" s="692"/>
    </row>
    <row r="46" spans="1:7" ht="16.5" customHeight="1" thickBot="1" x14ac:dyDescent="0.3">
      <c r="A46" s="679"/>
      <c r="B46" s="679" t="s">
        <v>1022</v>
      </c>
      <c r="C46" s="385">
        <f>'Input Data'!$E$287</f>
        <v>0</v>
      </c>
      <c r="D46" s="679" t="s">
        <v>367</v>
      </c>
      <c r="E46" s="679"/>
      <c r="F46" s="202"/>
      <c r="G46" s="692"/>
    </row>
    <row r="47" spans="1:7" x14ac:dyDescent="0.25">
      <c r="A47" s="679"/>
      <c r="B47" s="679" t="s">
        <v>1326</v>
      </c>
      <c r="C47" s="529">
        <f>'Input Data'!$E$16</f>
        <v>0</v>
      </c>
      <c r="D47" s="679" t="s">
        <v>367</v>
      </c>
      <c r="E47" s="679"/>
      <c r="F47" s="202"/>
      <c r="G47" s="692"/>
    </row>
    <row r="48" spans="1:7" x14ac:dyDescent="0.25">
      <c r="A48" s="679"/>
      <c r="B48" s="47" t="s">
        <v>1529</v>
      </c>
      <c r="C48" s="114">
        <f>IF(C47=0,0,C46/C47*100)</f>
        <v>0</v>
      </c>
      <c r="D48" s="47" t="s">
        <v>210</v>
      </c>
      <c r="E48" s="679"/>
      <c r="F48" s="203"/>
      <c r="G48" s="692"/>
    </row>
    <row r="49" spans="1:9" x14ac:dyDescent="0.25">
      <c r="A49" s="679"/>
      <c r="B49" s="47" t="s">
        <v>1530</v>
      </c>
      <c r="C49" s="545">
        <f>(0.98-C48/100*0.004)</f>
        <v>0.98</v>
      </c>
      <c r="D49" s="47"/>
      <c r="E49" s="679"/>
      <c r="F49" s="203"/>
      <c r="G49" s="692"/>
      <c r="H49" s="692"/>
      <c r="I49" s="692"/>
    </row>
    <row r="50" spans="1:9" x14ac:dyDescent="0.25">
      <c r="A50" s="679"/>
      <c r="B50" s="47"/>
      <c r="C50" s="506"/>
      <c r="D50" s="47"/>
      <c r="E50" s="679"/>
      <c r="F50" s="203"/>
      <c r="G50" s="1"/>
      <c r="H50" s="692"/>
      <c r="I50" s="692"/>
    </row>
    <row r="51" spans="1:9" x14ac:dyDescent="0.25">
      <c r="A51" s="679"/>
      <c r="B51" s="679" t="s">
        <v>555</v>
      </c>
      <c r="C51" s="504">
        <f>'P3 Mill'!C6</f>
        <v>0</v>
      </c>
      <c r="D51" s="679" t="s">
        <v>210</v>
      </c>
      <c r="E51" s="679"/>
      <c r="F51" s="202"/>
      <c r="G51" s="692"/>
      <c r="H51" s="692"/>
      <c r="I51" s="692"/>
    </row>
    <row r="52" spans="1:9" x14ac:dyDescent="0.25">
      <c r="A52" s="47"/>
      <c r="B52" s="47" t="s">
        <v>1531</v>
      </c>
      <c r="C52" s="177">
        <f>(100-20*C51/(100-C51))</f>
        <v>100</v>
      </c>
      <c r="D52" s="47" t="s">
        <v>210</v>
      </c>
      <c r="E52" s="47"/>
      <c r="F52" s="203"/>
      <c r="G52" s="692"/>
      <c r="H52" s="692"/>
      <c r="I52" s="692"/>
    </row>
    <row r="53" spans="1:9" x14ac:dyDescent="0.25">
      <c r="A53" s="47"/>
      <c r="B53" s="47"/>
      <c r="C53" s="177"/>
      <c r="D53" s="47"/>
      <c r="E53" s="47"/>
      <c r="F53" s="203"/>
      <c r="G53" s="692"/>
      <c r="H53" s="692"/>
      <c r="I53" s="692"/>
    </row>
    <row r="54" spans="1:9" x14ac:dyDescent="0.25">
      <c r="A54" s="679"/>
      <c r="B54" s="679" t="s">
        <v>557</v>
      </c>
      <c r="C54" s="504">
        <f>'P3 Mill'!C7</f>
        <v>0</v>
      </c>
      <c r="D54" s="679" t="s">
        <v>210</v>
      </c>
      <c r="E54" s="8"/>
      <c r="F54" s="202"/>
      <c r="G54" s="45"/>
      <c r="H54" s="692"/>
      <c r="I54" s="692"/>
    </row>
    <row r="55" spans="1:9" x14ac:dyDescent="0.25">
      <c r="A55" s="47"/>
      <c r="B55" s="47" t="s">
        <v>1532</v>
      </c>
      <c r="C55" s="177" t="e">
        <f>(1.5-50/C54)*100</f>
        <v>#DIV/0!</v>
      </c>
      <c r="D55" s="47" t="s">
        <v>210</v>
      </c>
      <c r="E55" s="47"/>
      <c r="F55" s="209"/>
      <c r="G55" s="45"/>
      <c r="H55" s="692"/>
      <c r="I55" s="692"/>
    </row>
    <row r="56" spans="1:9" ht="135.75" thickBot="1" x14ac:dyDescent="0.3">
      <c r="A56" s="47"/>
      <c r="B56" s="47" t="s">
        <v>1506</v>
      </c>
      <c r="C56" s="546" t="e">
        <f>C49*C52*C55/100</f>
        <v>#DIV/0!</v>
      </c>
      <c r="D56" s="680" t="s">
        <v>210</v>
      </c>
      <c r="E56" s="35"/>
      <c r="F56" s="227" t="s">
        <v>1533</v>
      </c>
      <c r="G56" s="45"/>
      <c r="H56" s="692"/>
      <c r="I56" s="692"/>
    </row>
    <row r="57" spans="1:9" ht="27.75" thickBot="1" x14ac:dyDescent="0.3">
      <c r="A57" s="1039" t="s">
        <v>1534</v>
      </c>
      <c r="B57" s="128" t="s">
        <v>1521</v>
      </c>
      <c r="C57" s="391" t="e">
        <f>C44/C56*100</f>
        <v>#DIV/0!</v>
      </c>
      <c r="D57" s="128" t="s">
        <v>210</v>
      </c>
      <c r="E57" s="16" t="e">
        <f>IF((C41="NO"),"",IF(C57&gt;90,"COMPLIANT","NOT COMPLIANT"))</f>
        <v>#DIV/0!</v>
      </c>
      <c r="F57" s="228" t="s">
        <v>1535</v>
      </c>
      <c r="G57" s="45"/>
      <c r="H57" s="692"/>
      <c r="I57" s="692"/>
    </row>
    <row r="58" spans="1:9" ht="24" thickBot="1" x14ac:dyDescent="0.3">
      <c r="A58" s="729"/>
      <c r="B58" s="729"/>
      <c r="D58" s="727"/>
      <c r="E58" s="727"/>
      <c r="F58" s="727"/>
      <c r="G58" s="45"/>
      <c r="H58" s="692"/>
      <c r="I58" s="692"/>
    </row>
    <row r="59" spans="1:9" ht="15.75" thickBot="1" x14ac:dyDescent="0.3">
      <c r="A59" s="860" t="s">
        <v>278</v>
      </c>
      <c r="B59" s="153" t="s">
        <v>229</v>
      </c>
      <c r="C59" s="544" t="s">
        <v>232</v>
      </c>
      <c r="D59" s="153" t="s">
        <v>342</v>
      </c>
      <c r="E59" s="153" t="s">
        <v>231</v>
      </c>
      <c r="F59" s="195" t="s">
        <v>344</v>
      </c>
      <c r="G59" s="45"/>
      <c r="H59" s="692"/>
      <c r="I59" s="692"/>
    </row>
    <row r="60" spans="1:9" s="1" customFormat="1" ht="68.25" thickBot="1" x14ac:dyDescent="0.3">
      <c r="A60" s="6" t="s">
        <v>1503</v>
      </c>
      <c r="B60" s="679" t="s">
        <v>1536</v>
      </c>
      <c r="C60" s="394" t="s">
        <v>1516</v>
      </c>
      <c r="D60" s="1423" t="s">
        <v>210</v>
      </c>
      <c r="E60" s="1423" t="str">
        <f>E78</f>
        <v/>
      </c>
      <c r="F60" s="199" t="s">
        <v>1537</v>
      </c>
      <c r="G60" s="45"/>
    </row>
    <row r="61" spans="1:9" ht="15.75" thickBot="1" x14ac:dyDescent="0.3">
      <c r="A61" s="1006" t="s">
        <v>1538</v>
      </c>
      <c r="B61" s="180" t="s">
        <v>229</v>
      </c>
      <c r="C61" s="492"/>
      <c r="D61" s="3"/>
      <c r="E61" s="3"/>
      <c r="F61" s="200"/>
      <c r="G61" s="45"/>
      <c r="H61" s="692"/>
      <c r="I61" s="692"/>
    </row>
    <row r="62" spans="1:9" x14ac:dyDescent="0.25">
      <c r="A62" s="38"/>
      <c r="B62" s="48"/>
      <c r="C62" s="501"/>
      <c r="D62" s="37"/>
      <c r="E62" s="37"/>
      <c r="F62" s="196"/>
      <c r="G62" s="45"/>
      <c r="H62" s="692"/>
      <c r="I62" s="692"/>
    </row>
    <row r="63" spans="1:9" x14ac:dyDescent="0.25">
      <c r="A63" s="679"/>
      <c r="B63" s="679" t="s">
        <v>1326</v>
      </c>
      <c r="C63" s="516">
        <f>'Input Data'!E16</f>
        <v>0</v>
      </c>
      <c r="D63" s="679" t="s">
        <v>367</v>
      </c>
      <c r="E63" s="679"/>
      <c r="F63" s="202"/>
      <c r="G63" s="45"/>
      <c r="H63" s="692"/>
      <c r="I63" s="692"/>
    </row>
    <row r="64" spans="1:9" ht="15.75" thickBot="1" x14ac:dyDescent="0.3">
      <c r="A64" s="679"/>
      <c r="B64" s="679" t="s">
        <v>1327</v>
      </c>
      <c r="C64" s="546">
        <f>'Input Data'!E17</f>
        <v>0</v>
      </c>
      <c r="D64" s="679" t="s">
        <v>384</v>
      </c>
      <c r="E64" s="679"/>
      <c r="F64" s="202"/>
      <c r="G64" s="45"/>
      <c r="H64" s="44"/>
      <c r="I64" s="45"/>
    </row>
    <row r="65" spans="1:9" ht="15.75" thickBot="1" x14ac:dyDescent="0.3">
      <c r="A65" s="679"/>
      <c r="B65" s="679" t="s">
        <v>1024</v>
      </c>
      <c r="C65" s="385">
        <f>'Input Data'!$E$288</f>
        <v>0</v>
      </c>
      <c r="D65" s="679" t="s">
        <v>1025</v>
      </c>
      <c r="E65" s="679"/>
      <c r="F65" s="202"/>
      <c r="G65" s="45"/>
      <c r="H65" s="44"/>
      <c r="I65" s="45"/>
    </row>
    <row r="66" spans="1:9" ht="27.75" thickBot="1" x14ac:dyDescent="0.3">
      <c r="A66" s="679"/>
      <c r="B66" s="679" t="s">
        <v>1029</v>
      </c>
      <c r="C66" s="385" t="str">
        <f>'Input Data'!$E$290</f>
        <v>Yes</v>
      </c>
      <c r="D66" s="679" t="s">
        <v>1525</v>
      </c>
      <c r="E66" s="679"/>
      <c r="F66" s="686" t="s">
        <v>1526</v>
      </c>
      <c r="G66" s="45"/>
      <c r="H66" s="44"/>
      <c r="I66" s="45"/>
    </row>
    <row r="67" spans="1:9" x14ac:dyDescent="0.25">
      <c r="A67" s="679"/>
      <c r="B67" s="679" t="s">
        <v>1539</v>
      </c>
      <c r="C67" s="408">
        <f>'Input Data'!E300</f>
        <v>0</v>
      </c>
      <c r="D67" s="679" t="s">
        <v>367</v>
      </c>
      <c r="E67" s="8"/>
      <c r="F67" s="202"/>
      <c r="G67" s="45"/>
      <c r="H67" s="44"/>
      <c r="I67" s="45"/>
    </row>
    <row r="68" spans="1:9" ht="15.75" thickBot="1" x14ac:dyDescent="0.3">
      <c r="A68" s="679"/>
      <c r="B68" s="679" t="s">
        <v>1540</v>
      </c>
      <c r="C68" s="408">
        <f>'Input Data'!E20</f>
        <v>0</v>
      </c>
      <c r="D68" s="679" t="s">
        <v>367</v>
      </c>
      <c r="E68" s="8"/>
      <c r="F68" s="202"/>
      <c r="G68" s="45"/>
      <c r="H68" s="44"/>
      <c r="I68" s="45"/>
    </row>
    <row r="69" spans="1:9" s="692" customFormat="1" ht="15.75" thickBot="1" x14ac:dyDescent="0.3">
      <c r="A69" s="679"/>
      <c r="B69" s="679" t="s">
        <v>1027</v>
      </c>
      <c r="C69" s="385">
        <f>'Input Data'!$E$289</f>
        <v>0</v>
      </c>
      <c r="D69" s="679" t="s">
        <v>210</v>
      </c>
      <c r="E69" s="679"/>
      <c r="F69" s="202"/>
      <c r="G69" s="45"/>
      <c r="H69" s="44"/>
      <c r="I69" s="45"/>
    </row>
    <row r="70" spans="1:9" s="692" customFormat="1" ht="40.5" x14ac:dyDescent="0.25">
      <c r="A70" s="47"/>
      <c r="B70" s="47" t="s">
        <v>1541</v>
      </c>
      <c r="C70" s="515">
        <f>(C63/0.95+(C64)*C65/100/0.68163/0.95+2*C68+C67*C69/100)</f>
        <v>0</v>
      </c>
      <c r="D70" s="47" t="s">
        <v>367</v>
      </c>
      <c r="E70" s="47"/>
      <c r="F70" s="686" t="s">
        <v>1542</v>
      </c>
      <c r="G70" s="45"/>
      <c r="H70" s="44"/>
      <c r="I70" s="45"/>
    </row>
    <row r="71" spans="1:9" s="692" customFormat="1" x14ac:dyDescent="0.25">
      <c r="A71" s="47"/>
      <c r="B71" s="47"/>
      <c r="C71" s="506"/>
      <c r="D71" s="47"/>
      <c r="E71" s="47"/>
      <c r="F71" s="209"/>
      <c r="G71" s="45"/>
      <c r="H71" s="44"/>
      <c r="I71" s="45"/>
    </row>
    <row r="72" spans="1:9" s="692" customFormat="1" x14ac:dyDescent="0.25">
      <c r="A72" s="8"/>
      <c r="B72" s="47" t="s">
        <v>1321</v>
      </c>
      <c r="C72" s="516">
        <f>'Input Data'!E15</f>
        <v>0</v>
      </c>
      <c r="D72" s="47" t="s">
        <v>367</v>
      </c>
      <c r="E72" s="103"/>
      <c r="F72" s="202"/>
      <c r="G72" s="45"/>
      <c r="H72" s="44"/>
      <c r="I72" s="45"/>
    </row>
    <row r="73" spans="1:9" s="692" customFormat="1" x14ac:dyDescent="0.25">
      <c r="A73" s="8"/>
      <c r="B73" s="679" t="s">
        <v>1543</v>
      </c>
      <c r="C73" s="390">
        <f>'P3 Mill'!C21</f>
        <v>0</v>
      </c>
      <c r="D73" s="679" t="s">
        <v>210</v>
      </c>
      <c r="E73" s="8"/>
      <c r="F73" s="203"/>
      <c r="G73" s="45"/>
      <c r="H73" s="44"/>
      <c r="I73" s="45"/>
    </row>
    <row r="74" spans="1:9" s="692" customFormat="1" ht="15.75" thickBot="1" x14ac:dyDescent="0.3">
      <c r="A74" s="679"/>
      <c r="B74" s="47" t="s">
        <v>1544</v>
      </c>
      <c r="C74" s="515">
        <f>'Input Data'!E352</f>
        <v>0</v>
      </c>
      <c r="D74" s="47" t="s">
        <v>367</v>
      </c>
      <c r="E74" s="8"/>
      <c r="F74" s="203"/>
      <c r="G74" s="45"/>
      <c r="H74" s="44"/>
      <c r="I74" s="45"/>
    </row>
    <row r="75" spans="1:9" s="692" customFormat="1" ht="15.75" thickBot="1" x14ac:dyDescent="0.3">
      <c r="A75" s="679"/>
      <c r="B75" s="47" t="s">
        <v>1545</v>
      </c>
      <c r="C75" s="385">
        <f>'Input Data'!$E$286</f>
        <v>0</v>
      </c>
      <c r="D75" s="171" t="s">
        <v>210</v>
      </c>
      <c r="E75" s="8"/>
      <c r="F75" s="202"/>
      <c r="G75" s="45"/>
      <c r="H75" s="44"/>
      <c r="I75" s="45"/>
    </row>
    <row r="76" spans="1:9" s="692" customFormat="1" x14ac:dyDescent="0.25">
      <c r="A76" s="679"/>
      <c r="B76" s="47" t="s">
        <v>1546</v>
      </c>
      <c r="C76" s="515">
        <f>(C72*C73/100+C74*C75/100)</f>
        <v>0</v>
      </c>
      <c r="D76" s="47" t="s">
        <v>367</v>
      </c>
      <c r="E76" s="679"/>
      <c r="F76" s="202"/>
      <c r="G76" s="45"/>
      <c r="H76" s="44"/>
      <c r="I76" s="45"/>
    </row>
    <row r="77" spans="1:9" s="692" customFormat="1" ht="15.75" thickBot="1" x14ac:dyDescent="0.3">
      <c r="A77" s="679"/>
      <c r="B77" s="680"/>
      <c r="C77" s="506"/>
      <c r="D77" s="47"/>
      <c r="E77" s="679"/>
      <c r="F77" s="202"/>
      <c r="G77" s="119"/>
      <c r="H77" s="44"/>
      <c r="I77" s="45"/>
    </row>
    <row r="78" spans="1:9" s="692" customFormat="1" ht="15.75" thickBot="1" x14ac:dyDescent="0.3">
      <c r="A78" s="873" t="s">
        <v>329</v>
      </c>
      <c r="B78" s="128" t="s">
        <v>1536</v>
      </c>
      <c r="C78" s="518" t="e">
        <f>C70/C76*100</f>
        <v>#DIV/0!</v>
      </c>
      <c r="D78" s="136" t="s">
        <v>210</v>
      </c>
      <c r="E78" s="16" t="str">
        <f>IF(OR(C64=0,C66="yes"),"",IF(C78&gt;75,"COMPLIANT","NOT COMPLIANT"))</f>
        <v/>
      </c>
      <c r="F78" s="206"/>
      <c r="G78" s="45"/>
      <c r="H78" s="44"/>
      <c r="I78" s="45"/>
    </row>
    <row r="79" spans="1:9" ht="24" thickBot="1" x14ac:dyDescent="0.3">
      <c r="A79" s="729"/>
      <c r="B79" s="729"/>
      <c r="D79" s="727"/>
      <c r="E79" s="727"/>
      <c r="F79" s="727"/>
      <c r="G79" s="45"/>
      <c r="H79" s="44"/>
      <c r="I79" s="45"/>
    </row>
    <row r="80" spans="1:9" ht="15.75" thickBot="1" x14ac:dyDescent="0.3">
      <c r="A80" s="860" t="s">
        <v>287</v>
      </c>
      <c r="B80" s="19" t="s">
        <v>229</v>
      </c>
      <c r="C80" s="500" t="s">
        <v>232</v>
      </c>
      <c r="D80" s="19" t="s">
        <v>342</v>
      </c>
      <c r="E80" s="19" t="s">
        <v>1265</v>
      </c>
      <c r="F80" s="195" t="s">
        <v>344</v>
      </c>
      <c r="G80" s="45"/>
      <c r="H80" s="46"/>
      <c r="I80" s="45"/>
    </row>
    <row r="81" spans="1:9" ht="41.25" thickBot="1" x14ac:dyDescent="0.3">
      <c r="A81" s="6" t="s">
        <v>1547</v>
      </c>
      <c r="B81" s="26" t="s">
        <v>1548</v>
      </c>
      <c r="C81" s="531" t="s">
        <v>399</v>
      </c>
      <c r="D81" s="1423"/>
      <c r="E81" s="35" t="str">
        <f>IF(C83="Yes","COMPLIANT","NOT COMPLIANT")</f>
        <v>COMPLIANT</v>
      </c>
      <c r="F81" s="199"/>
      <c r="G81" s="45"/>
      <c r="H81" s="46"/>
      <c r="I81" s="45"/>
    </row>
    <row r="82" spans="1:9" ht="15.75" thickBot="1" x14ac:dyDescent="0.3">
      <c r="A82" s="1006" t="s">
        <v>1549</v>
      </c>
      <c r="B82" s="156" t="s">
        <v>229</v>
      </c>
      <c r="C82" s="1015"/>
      <c r="D82" s="3"/>
      <c r="E82" s="3"/>
      <c r="F82" s="222"/>
      <c r="G82" s="45"/>
      <c r="H82" s="44"/>
      <c r="I82" s="45"/>
    </row>
    <row r="83" spans="1:9" ht="15.75" thickBot="1" x14ac:dyDescent="0.3">
      <c r="A83" s="873" t="s">
        <v>285</v>
      </c>
      <c r="B83" s="131" t="s">
        <v>1548</v>
      </c>
      <c r="C83" s="1017" t="str">
        <f>IF(ISBLANK('Input Data'!$E$293), "", 'Input Data'!$E$293)</f>
        <v>Yes</v>
      </c>
      <c r="D83" s="1018"/>
      <c r="E83" s="16" t="str">
        <f>$E$81</f>
        <v>COMPLIANT</v>
      </c>
      <c r="F83" s="224"/>
      <c r="G83" s="45"/>
      <c r="H83" s="44"/>
      <c r="I83" s="45"/>
    </row>
    <row r="84" spans="1:9" ht="23.25" x14ac:dyDescent="0.25">
      <c r="A84" s="729"/>
      <c r="B84" s="729"/>
      <c r="D84" s="727"/>
      <c r="E84" s="727"/>
      <c r="F84" s="727"/>
      <c r="G84" s="692"/>
      <c r="H84" s="44"/>
      <c r="I84" s="45"/>
    </row>
    <row r="85" spans="1:9" ht="16.5" thickBot="1" x14ac:dyDescent="0.35">
      <c r="A85" s="10"/>
      <c r="B85" s="129"/>
      <c r="C85" s="505"/>
      <c r="D85" s="11"/>
      <c r="E85" s="283"/>
      <c r="F85" s="11"/>
      <c r="G85" s="692"/>
      <c r="H85" s="46"/>
      <c r="I85" s="45"/>
    </row>
    <row r="86" spans="1:9" ht="15.75" thickBot="1" x14ac:dyDescent="0.3">
      <c r="A86" s="18" t="s">
        <v>287</v>
      </c>
      <c r="B86" s="19" t="s">
        <v>229</v>
      </c>
      <c r="C86" s="500" t="s">
        <v>232</v>
      </c>
      <c r="D86" s="19" t="s">
        <v>342</v>
      </c>
      <c r="E86" s="19" t="s">
        <v>231</v>
      </c>
      <c r="F86" s="195" t="s">
        <v>344</v>
      </c>
      <c r="G86" s="692"/>
      <c r="H86" s="46"/>
      <c r="I86" s="45"/>
    </row>
    <row r="87" spans="1:9" ht="39.6" customHeight="1" thickBot="1" x14ac:dyDescent="0.3">
      <c r="A87" s="6" t="s">
        <v>1550</v>
      </c>
      <c r="B87" s="679" t="s">
        <v>1551</v>
      </c>
      <c r="C87" s="394" t="s">
        <v>1552</v>
      </c>
      <c r="D87" s="1423" t="s">
        <v>1553</v>
      </c>
      <c r="E87" s="35"/>
      <c r="F87" s="199" t="s">
        <v>1554</v>
      </c>
      <c r="G87" s="692"/>
      <c r="H87" s="46"/>
      <c r="I87" s="45"/>
    </row>
    <row r="88" spans="1:9" ht="15.75" thickBot="1" x14ac:dyDescent="0.3">
      <c r="A88" s="17" t="s">
        <v>1555</v>
      </c>
      <c r="B88" s="180" t="s">
        <v>229</v>
      </c>
      <c r="C88" s="492"/>
      <c r="D88" s="3"/>
      <c r="E88" s="3"/>
      <c r="F88" s="200"/>
      <c r="G88" s="692"/>
      <c r="H88" s="46"/>
      <c r="I88" s="45"/>
    </row>
    <row r="89" spans="1:9" ht="15.75" thickBot="1" x14ac:dyDescent="0.3">
      <c r="A89" s="679"/>
      <c r="B89" s="679"/>
      <c r="C89" s="114"/>
      <c r="D89" s="66"/>
      <c r="E89" s="679"/>
      <c r="F89" s="202"/>
      <c r="G89" s="692"/>
      <c r="H89" s="46"/>
      <c r="I89" s="45"/>
    </row>
    <row r="90" spans="1:9" ht="15.75" thickBot="1" x14ac:dyDescent="0.3">
      <c r="A90" s="47"/>
      <c r="B90" s="104" t="s">
        <v>1214</v>
      </c>
      <c r="C90" s="536">
        <f>'Input Data'!$E$374</f>
        <v>0</v>
      </c>
      <c r="D90" s="104" t="s">
        <v>367</v>
      </c>
      <c r="E90" s="47"/>
      <c r="F90" s="209"/>
      <c r="G90" s="692"/>
      <c r="H90" s="46"/>
      <c r="I90" s="45"/>
    </row>
    <row r="91" spans="1:9" ht="15.75" thickBot="1" x14ac:dyDescent="0.3">
      <c r="A91" s="47"/>
      <c r="B91" s="104" t="s">
        <v>1321</v>
      </c>
      <c r="C91" s="379">
        <f>'Input Data'!E15</f>
        <v>0</v>
      </c>
      <c r="D91" s="104" t="s">
        <v>367</v>
      </c>
      <c r="E91" s="47"/>
      <c r="F91" s="209"/>
      <c r="G91" s="692"/>
      <c r="H91" s="692"/>
      <c r="I91" s="692"/>
    </row>
    <row r="92" spans="1:9" x14ac:dyDescent="0.25">
      <c r="A92" s="47"/>
      <c r="B92" s="104" t="s">
        <v>1214</v>
      </c>
      <c r="C92" s="507" t="e">
        <f>C90/C91</f>
        <v>#DIV/0!</v>
      </c>
      <c r="D92" s="104" t="s">
        <v>1556</v>
      </c>
      <c r="E92" s="47"/>
      <c r="F92" s="209"/>
      <c r="G92" s="692"/>
      <c r="H92" s="692"/>
      <c r="I92" s="692"/>
    </row>
    <row r="93" spans="1:9" x14ac:dyDescent="0.25">
      <c r="A93" s="679"/>
      <c r="B93" s="112"/>
      <c r="C93" s="408"/>
      <c r="D93" s="104"/>
      <c r="E93" s="679"/>
      <c r="F93" s="202"/>
      <c r="G93" s="51"/>
      <c r="H93" s="692"/>
      <c r="I93" s="692"/>
    </row>
    <row r="94" spans="1:9" x14ac:dyDescent="0.25">
      <c r="A94" s="679"/>
      <c r="B94" s="66" t="s">
        <v>1557</v>
      </c>
      <c r="C94" s="408">
        <f>'Input Data'!$E$316</f>
        <v>0</v>
      </c>
      <c r="D94" s="104" t="s">
        <v>210</v>
      </c>
      <c r="E94" s="8"/>
      <c r="F94" s="209"/>
      <c r="G94" s="692"/>
      <c r="H94" s="692"/>
      <c r="I94" s="692"/>
    </row>
    <row r="95" spans="1:9" x14ac:dyDescent="0.25">
      <c r="A95" s="679"/>
      <c r="B95" s="66" t="s">
        <v>1558</v>
      </c>
      <c r="C95" s="684">
        <f>'Input Data'!$E$317</f>
        <v>0</v>
      </c>
      <c r="D95" s="104" t="s">
        <v>210</v>
      </c>
      <c r="E95" s="8"/>
      <c r="F95" s="209"/>
      <c r="G95" s="692"/>
      <c r="H95" s="692"/>
      <c r="I95" s="692"/>
    </row>
    <row r="96" spans="1:9" x14ac:dyDescent="0.25">
      <c r="A96" s="679"/>
      <c r="B96" s="66" t="s">
        <v>1559</v>
      </c>
      <c r="C96" s="408">
        <f>'Input Data'!$E$318</f>
        <v>0</v>
      </c>
      <c r="D96" s="104" t="s">
        <v>210</v>
      </c>
      <c r="E96" s="8"/>
      <c r="F96" s="209"/>
      <c r="G96" s="692"/>
      <c r="H96" s="692"/>
      <c r="I96" s="692"/>
    </row>
    <row r="97" spans="1:9" x14ac:dyDescent="0.25">
      <c r="A97" s="679"/>
      <c r="B97" s="138" t="s">
        <v>1560</v>
      </c>
      <c r="C97" s="493">
        <f>18260-207.01*C94-182.6*C95-31.14*C96</f>
        <v>18260</v>
      </c>
      <c r="D97" s="104" t="s">
        <v>1561</v>
      </c>
      <c r="E97" s="679"/>
      <c r="F97" s="209" t="s">
        <v>1562</v>
      </c>
      <c r="G97" s="692"/>
      <c r="H97" s="692"/>
      <c r="I97" s="692"/>
    </row>
    <row r="98" spans="1:9" x14ac:dyDescent="0.25">
      <c r="A98" s="679"/>
      <c r="B98" s="104"/>
      <c r="C98" s="408"/>
      <c r="D98" s="104"/>
      <c r="E98" s="679"/>
      <c r="F98" s="209"/>
      <c r="G98" s="692"/>
      <c r="H98" s="692"/>
      <c r="I98" s="692"/>
    </row>
    <row r="99" spans="1:9" ht="16.5" x14ac:dyDescent="0.25">
      <c r="A99" s="8"/>
      <c r="B99" s="139" t="s">
        <v>1563</v>
      </c>
      <c r="C99" s="408">
        <f>'Conversion factors'!B38</f>
        <v>30</v>
      </c>
      <c r="D99" s="682" t="s">
        <v>1564</v>
      </c>
      <c r="E99" s="8"/>
      <c r="F99" s="229" t="s">
        <v>1565</v>
      </c>
      <c r="G99" s="692"/>
      <c r="H99" s="692"/>
      <c r="I99" s="692"/>
    </row>
    <row r="100" spans="1:9" x14ac:dyDescent="0.25">
      <c r="A100" s="47"/>
      <c r="B100" s="139" t="s">
        <v>1566</v>
      </c>
      <c r="C100" s="408">
        <f>'Conversion factors'!B59</f>
        <v>28</v>
      </c>
      <c r="D100" s="104"/>
      <c r="E100" s="679"/>
      <c r="F100" s="209" t="s">
        <v>1567</v>
      </c>
      <c r="G100" s="692"/>
      <c r="H100" s="692"/>
      <c r="I100" s="692"/>
    </row>
    <row r="101" spans="1:9" ht="16.5" x14ac:dyDescent="0.25">
      <c r="A101" s="8"/>
      <c r="B101" s="139" t="s">
        <v>1568</v>
      </c>
      <c r="C101" s="408">
        <f>'Conversion factors'!B39</f>
        <v>4</v>
      </c>
      <c r="D101" s="682" t="s">
        <v>1564</v>
      </c>
      <c r="E101" s="8"/>
      <c r="F101" s="229" t="s">
        <v>1565</v>
      </c>
      <c r="G101" s="692"/>
      <c r="H101" s="692"/>
      <c r="I101" s="692"/>
    </row>
    <row r="102" spans="1:9" x14ac:dyDescent="0.25">
      <c r="A102" s="679"/>
      <c r="B102" s="140" t="s">
        <v>1569</v>
      </c>
      <c r="C102" s="408">
        <f>'Conversion factors'!B60</f>
        <v>265</v>
      </c>
      <c r="D102" s="104"/>
      <c r="E102" s="679"/>
      <c r="F102" s="209" t="s">
        <v>1567</v>
      </c>
      <c r="G102" s="692"/>
      <c r="H102" s="692"/>
      <c r="I102" s="692"/>
    </row>
    <row r="103" spans="1:9" ht="16.5" x14ac:dyDescent="0.25">
      <c r="A103" s="679"/>
      <c r="B103" s="139" t="s">
        <v>1570</v>
      </c>
      <c r="C103" s="408">
        <f>(C99*C100+C101*C102)</f>
        <v>1900</v>
      </c>
      <c r="D103" s="682" t="s">
        <v>1564</v>
      </c>
      <c r="E103" s="679"/>
      <c r="F103" s="229"/>
      <c r="G103" s="692"/>
      <c r="H103" s="692"/>
      <c r="I103" s="692"/>
    </row>
    <row r="104" spans="1:9" ht="15.75" thickBot="1" x14ac:dyDescent="0.3">
      <c r="A104" s="679"/>
      <c r="B104" s="66"/>
      <c r="C104" s="394"/>
      <c r="D104" s="104"/>
      <c r="E104" s="679"/>
      <c r="F104" s="209"/>
      <c r="G104" s="692"/>
      <c r="H104" s="692"/>
      <c r="I104" s="692"/>
    </row>
    <row r="105" spans="1:9" ht="17.25" thickBot="1" x14ac:dyDescent="0.3">
      <c r="A105" s="841"/>
      <c r="B105" s="189" t="s">
        <v>1571</v>
      </c>
      <c r="C105" s="493">
        <f>C90*C97*C103/1000</f>
        <v>0</v>
      </c>
      <c r="D105" s="682" t="s">
        <v>1572</v>
      </c>
      <c r="E105" s="679"/>
      <c r="F105" s="209" t="s">
        <v>1573</v>
      </c>
      <c r="G105" s="692"/>
      <c r="H105" s="692"/>
      <c r="I105" s="692"/>
    </row>
    <row r="106" spans="1:9" x14ac:dyDescent="0.25">
      <c r="A106" s="679"/>
      <c r="B106" s="104"/>
      <c r="C106" s="394"/>
      <c r="D106" s="104"/>
      <c r="E106" s="679"/>
      <c r="F106" s="209"/>
      <c r="G106" s="692"/>
      <c r="H106" s="692"/>
      <c r="I106" s="692"/>
    </row>
    <row r="107" spans="1:9" x14ac:dyDescent="0.25">
      <c r="A107" s="679"/>
      <c r="B107" s="682" t="s">
        <v>1574</v>
      </c>
      <c r="C107" s="401">
        <f>C233</f>
        <v>0</v>
      </c>
      <c r="D107" s="104" t="s">
        <v>1575</v>
      </c>
      <c r="E107" s="679"/>
      <c r="F107" s="213" t="s">
        <v>1576</v>
      </c>
      <c r="G107" s="692"/>
      <c r="H107" s="692"/>
      <c r="I107" s="692"/>
    </row>
    <row r="108" spans="1:9" ht="16.5" x14ac:dyDescent="0.25">
      <c r="A108" s="679"/>
      <c r="B108" s="88" t="s">
        <v>1577</v>
      </c>
      <c r="C108" s="504">
        <f>'Conversion factors'!B41</f>
        <v>91.650453252239998</v>
      </c>
      <c r="D108" s="682" t="s">
        <v>1578</v>
      </c>
      <c r="E108" s="8"/>
      <c r="F108" s="209"/>
      <c r="G108" s="692"/>
      <c r="H108" s="692"/>
      <c r="I108" s="692"/>
    </row>
    <row r="109" spans="1:9" ht="15.75" thickBot="1" x14ac:dyDescent="0.3">
      <c r="A109" s="679"/>
      <c r="B109" s="682" t="s">
        <v>1579</v>
      </c>
      <c r="C109" s="114">
        <f>'Conversion factors'!B5</f>
        <v>1.1599999999999999</v>
      </c>
      <c r="D109" s="91" t="s">
        <v>1580</v>
      </c>
      <c r="E109" s="679"/>
      <c r="F109" s="197" t="s">
        <v>1581</v>
      </c>
      <c r="G109" s="692"/>
      <c r="H109" s="692"/>
      <c r="I109" s="692"/>
    </row>
    <row r="110" spans="1:9" ht="17.25" thickBot="1" x14ac:dyDescent="0.3">
      <c r="A110" s="841"/>
      <c r="B110" s="189" t="s">
        <v>1582</v>
      </c>
      <c r="C110" s="504">
        <f>C108*C107/C109</f>
        <v>0</v>
      </c>
      <c r="D110" s="682" t="s">
        <v>1572</v>
      </c>
      <c r="E110" s="679"/>
      <c r="F110" s="230"/>
      <c r="G110" s="692"/>
      <c r="H110" s="692"/>
      <c r="I110" s="692"/>
    </row>
    <row r="111" spans="1:9" ht="15.75" thickBot="1" x14ac:dyDescent="0.3">
      <c r="A111" s="679"/>
      <c r="B111" s="682"/>
      <c r="C111" s="408"/>
      <c r="D111" s="104"/>
      <c r="E111" s="47"/>
      <c r="F111" s="209"/>
      <c r="G111" s="692"/>
      <c r="H111" s="692"/>
      <c r="I111" s="692"/>
    </row>
    <row r="112" spans="1:9" ht="15.75" thickBot="1" x14ac:dyDescent="0.3">
      <c r="A112" s="679"/>
      <c r="B112" s="682" t="s">
        <v>1583</v>
      </c>
      <c r="C112" s="547">
        <f>'Input Data'!$E$296</f>
        <v>0</v>
      </c>
      <c r="D112" s="682" t="s">
        <v>367</v>
      </c>
      <c r="E112" s="47"/>
      <c r="F112" s="209"/>
      <c r="G112" s="692"/>
      <c r="H112" s="692"/>
      <c r="I112" s="692"/>
    </row>
    <row r="113" spans="1:7" ht="15.75" thickBot="1" x14ac:dyDescent="0.3">
      <c r="A113" s="679"/>
      <c r="B113" s="682" t="s">
        <v>1584</v>
      </c>
      <c r="C113" s="1049">
        <f>'Input Data'!$E$297</f>
        <v>0</v>
      </c>
      <c r="D113" s="104" t="s">
        <v>1048</v>
      </c>
      <c r="E113" s="109"/>
      <c r="F113" s="209"/>
      <c r="G113" s="692"/>
    </row>
    <row r="114" spans="1:7" ht="17.25" thickBot="1" x14ac:dyDescent="0.3">
      <c r="A114" s="679"/>
      <c r="B114" s="88" t="s">
        <v>1585</v>
      </c>
      <c r="C114" s="684">
        <f>'Conversion factors'!B44</f>
        <v>106.74298023784</v>
      </c>
      <c r="D114" s="682" t="s">
        <v>1578</v>
      </c>
      <c r="E114" s="47"/>
      <c r="F114" s="209"/>
      <c r="G114" s="709"/>
    </row>
    <row r="115" spans="1:7" ht="17.25" thickBot="1" x14ac:dyDescent="0.3">
      <c r="A115" s="841"/>
      <c r="B115" s="189" t="s">
        <v>1586</v>
      </c>
      <c r="C115" s="161">
        <f>C112*1000*C113*C114</f>
        <v>0</v>
      </c>
      <c r="D115" s="682" t="s">
        <v>1587</v>
      </c>
      <c r="E115" s="47"/>
      <c r="F115" s="209"/>
      <c r="G115" s="709"/>
    </row>
    <row r="116" spans="1:7" ht="15.75" x14ac:dyDescent="0.3">
      <c r="A116" s="47"/>
      <c r="B116" s="57"/>
      <c r="C116" s="515"/>
      <c r="D116" s="104"/>
      <c r="E116" s="47"/>
      <c r="F116" s="209"/>
      <c r="G116" s="283"/>
    </row>
    <row r="117" spans="1:7" x14ac:dyDescent="0.25">
      <c r="A117" s="47"/>
      <c r="B117" s="682" t="s">
        <v>1588</v>
      </c>
      <c r="C117" s="408">
        <f>$C$221</f>
        <v>0</v>
      </c>
      <c r="D117" s="682" t="s">
        <v>1575</v>
      </c>
      <c r="E117" s="47"/>
      <c r="F117" s="213" t="s">
        <v>1576</v>
      </c>
      <c r="G117" s="692"/>
    </row>
    <row r="118" spans="1:7" ht="17.25" thickBot="1" x14ac:dyDescent="0.3">
      <c r="A118" s="47"/>
      <c r="B118" s="47" t="s">
        <v>1589</v>
      </c>
      <c r="C118" s="513">
        <f>'Conversion factors'!B43</f>
        <v>6.6199999999999995E-2</v>
      </c>
      <c r="D118" s="682" t="s">
        <v>1578</v>
      </c>
      <c r="E118" s="47"/>
      <c r="F118" s="209"/>
      <c r="G118" s="692"/>
    </row>
    <row r="119" spans="1:7" ht="17.25" thickBot="1" x14ac:dyDescent="0.3">
      <c r="A119" s="841"/>
      <c r="B119" s="189" t="s">
        <v>1590</v>
      </c>
      <c r="C119" s="506">
        <f>C117*C118</f>
        <v>0</v>
      </c>
      <c r="D119" s="682" t="s">
        <v>1572</v>
      </c>
      <c r="E119" s="47"/>
      <c r="F119" s="209"/>
      <c r="G119" s="692"/>
    </row>
    <row r="120" spans="1:7" x14ac:dyDescent="0.25">
      <c r="A120" s="47"/>
      <c r="B120" s="57"/>
      <c r="C120" s="506"/>
      <c r="D120" s="104"/>
      <c r="E120" s="47"/>
      <c r="F120" s="209"/>
      <c r="G120" s="692"/>
    </row>
    <row r="121" spans="1:7" ht="15.75" thickBot="1" x14ac:dyDescent="0.3">
      <c r="A121" s="47"/>
      <c r="B121" s="682" t="s">
        <v>1591</v>
      </c>
      <c r="C121" s="506" t="e">
        <f>C211</f>
        <v>#DIV/0!</v>
      </c>
      <c r="D121" s="104" t="s">
        <v>1575</v>
      </c>
      <c r="E121" s="47"/>
      <c r="F121" s="213" t="s">
        <v>1576</v>
      </c>
      <c r="G121" s="692"/>
    </row>
    <row r="122" spans="1:7" ht="27.75" thickBot="1" x14ac:dyDescent="0.3">
      <c r="A122" s="47"/>
      <c r="B122" s="47" t="s">
        <v>1592</v>
      </c>
      <c r="C122" s="547">
        <f>'Input Data'!$E$291</f>
        <v>0</v>
      </c>
      <c r="D122" s="682" t="s">
        <v>1578</v>
      </c>
      <c r="E122" s="47"/>
      <c r="F122" s="686" t="s">
        <v>1593</v>
      </c>
      <c r="G122" s="692"/>
    </row>
    <row r="123" spans="1:7" ht="54.75" thickBot="1" x14ac:dyDescent="0.3">
      <c r="A123" s="47"/>
      <c r="B123" s="682" t="s">
        <v>678</v>
      </c>
      <c r="C123" s="1051">
        <f>'Input Data'!$E$324</f>
        <v>0</v>
      </c>
      <c r="D123" s="682" t="s">
        <v>210</v>
      </c>
      <c r="E123" s="47"/>
      <c r="F123" s="686" t="s">
        <v>1594</v>
      </c>
      <c r="G123" s="692"/>
    </row>
    <row r="124" spans="1:7" ht="17.25" thickBot="1" x14ac:dyDescent="0.3">
      <c r="A124" s="841"/>
      <c r="B124" s="189" t="s">
        <v>1595</v>
      </c>
      <c r="C124" s="506" t="e">
        <f>C122*C121*C123/100</f>
        <v>#DIV/0!</v>
      </c>
      <c r="D124" s="682" t="s">
        <v>1572</v>
      </c>
      <c r="E124" s="47"/>
      <c r="F124" s="230"/>
      <c r="G124" s="692"/>
    </row>
    <row r="125" spans="1:7" x14ac:dyDescent="0.25">
      <c r="A125" s="47"/>
      <c r="B125" s="682"/>
      <c r="C125" s="394"/>
      <c r="D125" s="104"/>
      <c r="E125" s="47"/>
      <c r="F125" s="209"/>
      <c r="G125" s="692"/>
    </row>
    <row r="126" spans="1:7" x14ac:dyDescent="0.25">
      <c r="A126" s="47"/>
      <c r="B126" s="682" t="s">
        <v>1596</v>
      </c>
      <c r="C126" s="506">
        <f>'Conversion factors'!B18</f>
        <v>6.36</v>
      </c>
      <c r="D126" s="104" t="s">
        <v>1061</v>
      </c>
      <c r="E126" s="141"/>
      <c r="F126" s="213" t="s">
        <v>1597</v>
      </c>
      <c r="G126" s="692"/>
    </row>
    <row r="127" spans="1:7" ht="17.25" thickBot="1" x14ac:dyDescent="0.3">
      <c r="A127" s="47"/>
      <c r="B127" s="47" t="s">
        <v>1598</v>
      </c>
      <c r="C127" s="504">
        <f>'Conversion factors'!B45</f>
        <v>91.650453252239998</v>
      </c>
      <c r="D127" s="682" t="s">
        <v>1578</v>
      </c>
      <c r="E127" s="47"/>
      <c r="F127" s="213" t="s">
        <v>1599</v>
      </c>
      <c r="G127" s="692"/>
    </row>
    <row r="128" spans="1:7" ht="17.25" thickBot="1" x14ac:dyDescent="0.3">
      <c r="A128" s="841"/>
      <c r="B128" s="189" t="s">
        <v>1600</v>
      </c>
      <c r="C128" s="390">
        <f>C126*'Input Data'!E15*C127/10</f>
        <v>0</v>
      </c>
      <c r="D128" s="682" t="s">
        <v>1572</v>
      </c>
      <c r="E128" s="47"/>
      <c r="F128" s="209" t="s">
        <v>1601</v>
      </c>
      <c r="G128" s="692"/>
    </row>
    <row r="129" spans="1:7" ht="15.75" thickBot="1" x14ac:dyDescent="0.3">
      <c r="A129" s="47"/>
      <c r="B129" s="682"/>
      <c r="C129" s="394"/>
      <c r="D129" s="104"/>
      <c r="E129" s="47"/>
      <c r="F129" s="209"/>
      <c r="G129" s="692"/>
    </row>
    <row r="130" spans="1:7" ht="15.75" thickBot="1" x14ac:dyDescent="0.3">
      <c r="A130" s="47"/>
      <c r="B130" s="682" t="s">
        <v>1602</v>
      </c>
      <c r="C130" s="1050">
        <f>'Input Data'!$E$301</f>
        <v>0</v>
      </c>
      <c r="D130" s="104" t="s">
        <v>1061</v>
      </c>
      <c r="E130" s="47"/>
      <c r="F130" s="217" t="s">
        <v>1062</v>
      </c>
      <c r="G130" s="692"/>
    </row>
    <row r="131" spans="1:7" ht="41.25" thickBot="1" x14ac:dyDescent="0.3">
      <c r="A131" s="47"/>
      <c r="B131" s="47" t="s">
        <v>1603</v>
      </c>
      <c r="C131" s="385">
        <f>'Input Data'!$E$292</f>
        <v>0</v>
      </c>
      <c r="D131" s="104" t="s">
        <v>1034</v>
      </c>
      <c r="E131" s="36"/>
      <c r="F131" s="686" t="s">
        <v>1604</v>
      </c>
      <c r="G131" s="692"/>
    </row>
    <row r="132" spans="1:7" ht="17.25" thickBot="1" x14ac:dyDescent="0.3">
      <c r="A132" s="841"/>
      <c r="B132" s="189" t="s">
        <v>1605</v>
      </c>
      <c r="C132" s="394">
        <f>C130*'Input Data'!E15*C131</f>
        <v>0</v>
      </c>
      <c r="D132" s="682" t="s">
        <v>1572</v>
      </c>
      <c r="E132" s="47"/>
      <c r="F132" s="219"/>
      <c r="G132" s="692"/>
    </row>
    <row r="133" spans="1:7" ht="15.75" thickBot="1" x14ac:dyDescent="0.3">
      <c r="A133" s="679"/>
      <c r="B133" s="57"/>
      <c r="C133" s="394"/>
      <c r="D133" s="104"/>
      <c r="E133" s="47"/>
      <c r="F133" s="219"/>
      <c r="G133" s="692"/>
    </row>
    <row r="134" spans="1:7" ht="17.25" thickBot="1" x14ac:dyDescent="0.3">
      <c r="A134" s="679"/>
      <c r="B134" s="680" t="s">
        <v>1606</v>
      </c>
      <c r="C134" s="385">
        <f>'Input Data'!E115</f>
        <v>0</v>
      </c>
      <c r="D134" s="682" t="s">
        <v>1607</v>
      </c>
      <c r="E134" s="47"/>
      <c r="F134" s="686" t="s">
        <v>1608</v>
      </c>
      <c r="G134" s="692"/>
    </row>
    <row r="135" spans="1:7" x14ac:dyDescent="0.25">
      <c r="A135" s="47"/>
      <c r="B135" s="682"/>
      <c r="C135" s="525"/>
      <c r="D135" s="104"/>
      <c r="E135" s="47"/>
      <c r="F135" s="202"/>
      <c r="G135" s="692"/>
    </row>
    <row r="136" spans="1:7" x14ac:dyDescent="0.25">
      <c r="A136" s="47"/>
      <c r="B136" s="682" t="s">
        <v>1609</v>
      </c>
      <c r="C136" s="548">
        <f>C241</f>
        <v>0</v>
      </c>
      <c r="D136" s="104" t="s">
        <v>1575</v>
      </c>
      <c r="E136" s="8"/>
      <c r="F136" s="202"/>
      <c r="G136" s="692"/>
    </row>
    <row r="137" spans="1:7" ht="17.25" thickBot="1" x14ac:dyDescent="0.3">
      <c r="A137" s="47"/>
      <c r="B137" s="47" t="s">
        <v>1610</v>
      </c>
      <c r="C137" s="549">
        <f>'Conversion factors'!B46</f>
        <v>65.373052999999999</v>
      </c>
      <c r="D137" s="682" t="s">
        <v>1578</v>
      </c>
      <c r="E137" s="8"/>
      <c r="F137" s="686" t="s">
        <v>1611</v>
      </c>
      <c r="G137" s="692"/>
    </row>
    <row r="138" spans="1:7" ht="17.25" thickBot="1" x14ac:dyDescent="0.3">
      <c r="A138" s="841"/>
      <c r="B138" s="189" t="s">
        <v>1612</v>
      </c>
      <c r="C138" s="549">
        <f>C136*C137</f>
        <v>0</v>
      </c>
      <c r="D138" s="682" t="s">
        <v>1572</v>
      </c>
      <c r="E138" s="679"/>
      <c r="F138" s="202"/>
      <c r="G138" s="692"/>
    </row>
    <row r="139" spans="1:7" x14ac:dyDescent="0.25">
      <c r="A139" s="679"/>
      <c r="B139" s="39"/>
      <c r="C139" s="525"/>
      <c r="D139" s="104"/>
      <c r="E139" s="679"/>
      <c r="F139" s="202"/>
      <c r="G139" s="692"/>
    </row>
    <row r="140" spans="1:7" x14ac:dyDescent="0.25">
      <c r="A140" s="679"/>
      <c r="B140" s="60" t="s">
        <v>1566</v>
      </c>
      <c r="C140" s="550">
        <f>'Conversion factors'!B59</f>
        <v>28</v>
      </c>
      <c r="D140" s="104"/>
      <c r="E140" s="679"/>
      <c r="F140" s="209" t="s">
        <v>1567</v>
      </c>
      <c r="G140" s="692"/>
    </row>
    <row r="141" spans="1:7" ht="27.75" thickBot="1" x14ac:dyDescent="0.3">
      <c r="A141" s="679"/>
      <c r="B141" s="60" t="s">
        <v>1613</v>
      </c>
      <c r="C141" s="550">
        <v>0.5</v>
      </c>
      <c r="D141" s="104" t="s">
        <v>1510</v>
      </c>
      <c r="E141" s="679"/>
      <c r="F141" s="686" t="s">
        <v>1614</v>
      </c>
      <c r="G141" s="692"/>
    </row>
    <row r="142" spans="1:7" ht="17.25" thickBot="1" x14ac:dyDescent="0.3">
      <c r="A142" s="841"/>
      <c r="B142" s="189" t="s">
        <v>1615</v>
      </c>
      <c r="C142" s="525">
        <f>C141*'Conversion factors'!B62*C140*1000*C91</f>
        <v>0</v>
      </c>
      <c r="D142" s="682" t="s">
        <v>1572</v>
      </c>
      <c r="E142" s="679"/>
      <c r="F142" s="686" t="s">
        <v>1616</v>
      </c>
      <c r="G142" s="692"/>
    </row>
    <row r="143" spans="1:7" x14ac:dyDescent="0.25">
      <c r="A143" s="47"/>
      <c r="B143" s="682"/>
      <c r="C143" s="551"/>
      <c r="D143" s="104"/>
      <c r="E143" s="47"/>
      <c r="F143" s="209"/>
      <c r="G143" s="692"/>
    </row>
    <row r="144" spans="1:7" ht="27" x14ac:dyDescent="0.25">
      <c r="A144" s="47"/>
      <c r="B144" s="682" t="s">
        <v>1617</v>
      </c>
      <c r="C144" s="552">
        <f>C341</f>
        <v>0</v>
      </c>
      <c r="D144" s="104" t="s">
        <v>1575</v>
      </c>
      <c r="E144" s="47"/>
      <c r="F144" s="213" t="s">
        <v>1618</v>
      </c>
      <c r="G144" s="692"/>
    </row>
    <row r="145" spans="1:7" ht="17.25" thickBot="1" x14ac:dyDescent="0.3">
      <c r="A145" s="47"/>
      <c r="B145" s="682" t="s">
        <v>1619</v>
      </c>
      <c r="C145" s="551">
        <f>'Conversion factors'!B47</f>
        <v>95</v>
      </c>
      <c r="D145" s="682" t="s">
        <v>1578</v>
      </c>
      <c r="E145" s="47"/>
      <c r="F145" s="209" t="s">
        <v>1620</v>
      </c>
      <c r="G145" s="692"/>
    </row>
    <row r="146" spans="1:7" ht="17.25" thickBot="1" x14ac:dyDescent="0.3">
      <c r="A146" s="841"/>
      <c r="B146" s="189" t="s">
        <v>1621</v>
      </c>
      <c r="C146" s="553">
        <f>C145*C144</f>
        <v>0</v>
      </c>
      <c r="D146" s="682" t="s">
        <v>1572</v>
      </c>
      <c r="E146" s="47"/>
      <c r="F146" s="209"/>
      <c r="G146" s="692"/>
    </row>
    <row r="147" spans="1:7" x14ac:dyDescent="0.25">
      <c r="A147" s="679"/>
      <c r="B147" s="682"/>
      <c r="C147" s="525"/>
      <c r="D147" s="104"/>
      <c r="E147" s="8"/>
      <c r="F147" s="214"/>
      <c r="G147" s="692"/>
    </row>
    <row r="148" spans="1:7" ht="17.25" thickBot="1" x14ac:dyDescent="0.3">
      <c r="A148" s="5"/>
      <c r="B148" s="5" t="s">
        <v>1622</v>
      </c>
      <c r="C148" s="554" t="e">
        <f>SUM(C105,C110,C115,C119,C124,C128,C132,C134,C138,C142,C146)/1000</f>
        <v>#DIV/0!</v>
      </c>
      <c r="D148" s="143" t="s">
        <v>1623</v>
      </c>
      <c r="E148" s="144"/>
      <c r="F148" s="294" t="s">
        <v>1624</v>
      </c>
      <c r="G148" s="692"/>
    </row>
    <row r="149" spans="1:7" x14ac:dyDescent="0.25">
      <c r="A149" s="47"/>
      <c r="B149" s="142"/>
      <c r="C149" s="555"/>
      <c r="D149" s="104"/>
      <c r="E149" s="8"/>
      <c r="F149" s="230"/>
      <c r="G149" s="692"/>
    </row>
    <row r="150" spans="1:7" x14ac:dyDescent="0.25">
      <c r="A150" s="47"/>
      <c r="B150" s="682" t="s">
        <v>1625</v>
      </c>
      <c r="C150" s="556" t="e">
        <f>C415</f>
        <v>#DIV/0!</v>
      </c>
      <c r="D150" s="104" t="s">
        <v>1061</v>
      </c>
      <c r="E150" s="8"/>
      <c r="F150" s="209" t="s">
        <v>1576</v>
      </c>
      <c r="G150" s="692"/>
    </row>
    <row r="151" spans="1:7" ht="16.5" x14ac:dyDescent="0.25">
      <c r="A151" s="47"/>
      <c r="B151" s="88" t="s">
        <v>1577</v>
      </c>
      <c r="C151" s="296">
        <f>'Conversion factors'!B41</f>
        <v>91.650453252239998</v>
      </c>
      <c r="D151" s="682" t="s">
        <v>1578</v>
      </c>
      <c r="E151" s="8"/>
      <c r="F151" s="686" t="s">
        <v>1611</v>
      </c>
      <c r="G151" s="692"/>
    </row>
    <row r="152" spans="1:7" ht="16.5" x14ac:dyDescent="0.25">
      <c r="A152" s="47"/>
      <c r="B152" s="47" t="s">
        <v>1626</v>
      </c>
      <c r="C152" s="557" t="e">
        <f>C150*C151*'Input Data'!E12</f>
        <v>#DIV/0!</v>
      </c>
      <c r="D152" s="682" t="s">
        <v>1572</v>
      </c>
      <c r="E152" s="8"/>
      <c r="F152" s="230"/>
      <c r="G152" s="692"/>
    </row>
    <row r="153" spans="1:7" x14ac:dyDescent="0.25">
      <c r="A153" s="679"/>
      <c r="B153" s="142"/>
      <c r="C153" s="555"/>
      <c r="D153" s="104"/>
      <c r="E153" s="8"/>
      <c r="F153" s="230"/>
      <c r="G153" s="692"/>
    </row>
    <row r="154" spans="1:7" ht="16.5" x14ac:dyDescent="0.25">
      <c r="A154" s="679"/>
      <c r="B154" s="679" t="s">
        <v>1627</v>
      </c>
      <c r="C154" s="556">
        <f>IFERROR(IF(AND('Input Data'!E13=0,'Input Data'!E294="No"),'Conversion factors'!B71,IF(AND('Input Data'!E13=0,'Input Data'!E294="yes"),'Conversion factors'!B72,'P3 Agric'!C212)),"")</f>
        <v>91</v>
      </c>
      <c r="D154" s="682" t="s">
        <v>1628</v>
      </c>
      <c r="E154" s="679"/>
      <c r="F154" s="209" t="s">
        <v>1576</v>
      </c>
      <c r="G154" s="692"/>
    </row>
    <row r="155" spans="1:7" ht="16.5" x14ac:dyDescent="0.25">
      <c r="A155" s="679"/>
      <c r="B155" s="47" t="s">
        <v>1626</v>
      </c>
      <c r="C155" s="556" t="str">
        <f>IFERROR(C152/1000/'Input Data'!E12,"")</f>
        <v/>
      </c>
      <c r="D155" s="682" t="s">
        <v>1629</v>
      </c>
      <c r="E155" s="679"/>
      <c r="F155" s="202"/>
      <c r="G155" s="692"/>
    </row>
    <row r="156" spans="1:7" ht="16.5" x14ac:dyDescent="0.25">
      <c r="A156" s="679"/>
      <c r="B156" s="679" t="s">
        <v>1622</v>
      </c>
      <c r="C156" s="556" t="str">
        <f>IFERROR(C148/'Input Data'!E15,"")</f>
        <v/>
      </c>
      <c r="D156" s="682" t="s">
        <v>1628</v>
      </c>
      <c r="E156" s="679"/>
      <c r="F156" s="202"/>
      <c r="G156" s="692"/>
    </row>
    <row r="157" spans="1:7" ht="15.75" thickBot="1" x14ac:dyDescent="0.3">
      <c r="A157" s="679"/>
      <c r="B157" s="142"/>
      <c r="C157" s="556"/>
      <c r="D157" s="104"/>
      <c r="E157" s="679"/>
      <c r="F157" s="202"/>
      <c r="G157" s="692"/>
    </row>
    <row r="158" spans="1:7" ht="17.25" thickBot="1" x14ac:dyDescent="0.3">
      <c r="A158" s="679"/>
      <c r="B158" s="699" t="s">
        <v>1630</v>
      </c>
      <c r="C158" s="707">
        <f>SUM(C156,C155,C154)</f>
        <v>91</v>
      </c>
      <c r="D158" s="682" t="s">
        <v>1628</v>
      </c>
      <c r="E158" s="679"/>
      <c r="F158" s="202"/>
      <c r="G158" s="692"/>
    </row>
    <row r="159" spans="1:7" x14ac:dyDescent="0.25">
      <c r="A159" s="8"/>
      <c r="B159" s="142"/>
      <c r="C159" s="558"/>
      <c r="D159" s="104"/>
      <c r="E159" s="679"/>
      <c r="F159" s="202"/>
      <c r="G159" s="692"/>
    </row>
    <row r="160" spans="1:7" s="692" customFormat="1" ht="15.75" thickBot="1" x14ac:dyDescent="0.3">
      <c r="A160" s="8"/>
      <c r="B160" s="682" t="s">
        <v>1330</v>
      </c>
      <c r="C160" s="761">
        <f>C349</f>
        <v>0</v>
      </c>
      <c r="D160" s="104" t="s">
        <v>1575</v>
      </c>
      <c r="E160" s="8"/>
      <c r="F160" s="209" t="s">
        <v>1576</v>
      </c>
    </row>
    <row r="161" spans="1:7" ht="15.75" thickBot="1" x14ac:dyDescent="0.3">
      <c r="A161" s="8"/>
      <c r="B161" s="682" t="s">
        <v>678</v>
      </c>
      <c r="C161" s="385">
        <f>'Input Data'!$E$324</f>
        <v>0</v>
      </c>
      <c r="D161" s="682" t="s">
        <v>210</v>
      </c>
      <c r="E161" s="8"/>
      <c r="F161" s="209" t="s">
        <v>1631</v>
      </c>
      <c r="G161" s="692"/>
    </row>
    <row r="162" spans="1:7" ht="16.5" x14ac:dyDescent="0.25">
      <c r="A162" s="8"/>
      <c r="B162" s="47" t="s">
        <v>1632</v>
      </c>
      <c r="C162" s="161">
        <f>C122</f>
        <v>0</v>
      </c>
      <c r="D162" s="682" t="s">
        <v>1578</v>
      </c>
      <c r="E162" s="8"/>
      <c r="F162" s="202"/>
      <c r="G162" s="692"/>
    </row>
    <row r="163" spans="1:7" ht="17.25" thickBot="1" x14ac:dyDescent="0.3">
      <c r="A163" s="8"/>
      <c r="B163" s="47" t="s">
        <v>1633</v>
      </c>
      <c r="C163" s="558" t="e">
        <f>C160*C162*C161/100/1000/'Input Data'!E15</f>
        <v>#DIV/0!</v>
      </c>
      <c r="D163" s="682" t="s">
        <v>1628</v>
      </c>
      <c r="E163" s="679"/>
      <c r="F163" s="294" t="s">
        <v>1634</v>
      </c>
      <c r="G163" s="692"/>
    </row>
    <row r="164" spans="1:7" ht="27" x14ac:dyDescent="0.25">
      <c r="A164" s="8"/>
      <c r="B164" s="57"/>
      <c r="C164" s="63"/>
      <c r="D164" s="104"/>
      <c r="E164" s="679"/>
      <c r="F164" s="227" t="s">
        <v>1635</v>
      </c>
      <c r="G164" s="692"/>
    </row>
    <row r="165" spans="1:7" x14ac:dyDescent="0.25">
      <c r="A165" s="8"/>
      <c r="B165" s="47" t="s">
        <v>1636</v>
      </c>
      <c r="C165" s="63">
        <f>C357</f>
        <v>0</v>
      </c>
      <c r="D165" s="104" t="s">
        <v>1575</v>
      </c>
      <c r="E165" s="679"/>
      <c r="F165" s="209" t="s">
        <v>1576</v>
      </c>
      <c r="G165" s="692"/>
    </row>
    <row r="166" spans="1:7" ht="16.5" x14ac:dyDescent="0.25">
      <c r="A166" s="8"/>
      <c r="B166" s="47" t="s">
        <v>1637</v>
      </c>
      <c r="C166" s="161">
        <f>C162</f>
        <v>0</v>
      </c>
      <c r="D166" s="682" t="s">
        <v>1578</v>
      </c>
      <c r="E166" s="679"/>
      <c r="F166" s="686"/>
      <c r="G166" s="692"/>
    </row>
    <row r="167" spans="1:7" ht="16.5" x14ac:dyDescent="0.25">
      <c r="A167" s="8"/>
      <c r="B167" s="47" t="s">
        <v>1638</v>
      </c>
      <c r="C167" s="63" t="e">
        <f>C165*C166/1000/'Input Data'!E15</f>
        <v>#DIV/0!</v>
      </c>
      <c r="D167" s="682" t="s">
        <v>1628</v>
      </c>
      <c r="E167" s="679"/>
      <c r="F167" s="202"/>
      <c r="G167" s="692"/>
    </row>
    <row r="168" spans="1:7" ht="15.75" thickBot="1" x14ac:dyDescent="0.3">
      <c r="A168" s="47"/>
      <c r="B168" s="142"/>
      <c r="C168" s="63"/>
      <c r="D168" s="104"/>
      <c r="E168" s="679"/>
      <c r="F168" s="202"/>
      <c r="G168" s="692"/>
    </row>
    <row r="169" spans="1:7" ht="17.25" thickBot="1" x14ac:dyDescent="0.3">
      <c r="A169" s="47"/>
      <c r="B169" s="699" t="s">
        <v>1639</v>
      </c>
      <c r="C169" s="707" t="e">
        <f>C158-C163-C167</f>
        <v>#DIV/0!</v>
      </c>
      <c r="D169" s="682" t="s">
        <v>1628</v>
      </c>
      <c r="E169" s="103"/>
      <c r="F169" s="208"/>
      <c r="G169" s="692"/>
    </row>
    <row r="170" spans="1:7" x14ac:dyDescent="0.25">
      <c r="A170" s="47"/>
      <c r="B170" s="47" t="s">
        <v>1640</v>
      </c>
      <c r="C170" s="148">
        <f>C378</f>
        <v>0</v>
      </c>
      <c r="D170" s="682" t="s">
        <v>210</v>
      </c>
      <c r="E170" s="111"/>
      <c r="F170" s="209" t="s">
        <v>1641</v>
      </c>
      <c r="G170" s="692"/>
    </row>
    <row r="171" spans="1:7" ht="40.5" x14ac:dyDescent="0.25">
      <c r="A171" s="47"/>
      <c r="B171" s="47" t="s">
        <v>1642</v>
      </c>
      <c r="C171" s="559" t="e">
        <f>C170/100*C169</f>
        <v>#DIV/0!</v>
      </c>
      <c r="D171" s="682" t="s">
        <v>1628</v>
      </c>
      <c r="E171" s="145"/>
      <c r="F171" s="686" t="s">
        <v>1643</v>
      </c>
      <c r="G171" s="692"/>
    </row>
    <row r="172" spans="1:7" ht="17.25" thickBot="1" x14ac:dyDescent="0.3">
      <c r="A172" s="47"/>
      <c r="B172" s="47" t="s">
        <v>1642</v>
      </c>
      <c r="C172" s="560">
        <f>IF('Input Data'!E18=0,0,C171/'Input Data'!E18/1000)</f>
        <v>0</v>
      </c>
      <c r="D172" s="682" t="s">
        <v>1644</v>
      </c>
      <c r="E172" s="145"/>
      <c r="F172" s="208"/>
      <c r="G172" s="692"/>
    </row>
    <row r="173" spans="1:7" ht="17.25" thickBot="1" x14ac:dyDescent="0.3">
      <c r="A173" s="680"/>
      <c r="B173" s="699" t="s">
        <v>1645</v>
      </c>
      <c r="C173" s="707" t="e">
        <f>C169-C171</f>
        <v>#DIV/0!</v>
      </c>
      <c r="D173" s="682" t="s">
        <v>1628</v>
      </c>
      <c r="E173" s="146"/>
      <c r="F173" s="208"/>
      <c r="G173" s="692"/>
    </row>
    <row r="174" spans="1:7" ht="15.75" thickBot="1" x14ac:dyDescent="0.3">
      <c r="A174" s="680"/>
      <c r="B174" s="680"/>
      <c r="C174" s="426"/>
      <c r="D174" s="682"/>
      <c r="E174" s="146"/>
      <c r="F174" s="208"/>
      <c r="G174" s="692"/>
    </row>
    <row r="175" spans="1:7" ht="15.75" thickBot="1" x14ac:dyDescent="0.3">
      <c r="A175" s="680"/>
      <c r="B175" s="680" t="s">
        <v>1321</v>
      </c>
      <c r="C175" s="385">
        <f>'Input Data'!E15</f>
        <v>0</v>
      </c>
      <c r="D175" s="682"/>
      <c r="E175" s="146"/>
      <c r="F175" s="208"/>
      <c r="G175" s="692"/>
    </row>
    <row r="176" spans="1:7" ht="15.75" thickBot="1" x14ac:dyDescent="0.3">
      <c r="A176" s="680"/>
      <c r="B176" s="680" t="s">
        <v>1326</v>
      </c>
      <c r="C176" s="385">
        <f>'Input Data'!E16</f>
        <v>0</v>
      </c>
      <c r="D176" s="682" t="s">
        <v>650</v>
      </c>
      <c r="E176" s="146"/>
      <c r="F176" s="208"/>
      <c r="G176" s="692"/>
    </row>
    <row r="177" spans="1:7" x14ac:dyDescent="0.25">
      <c r="A177" s="680"/>
      <c r="B177" s="680" t="s">
        <v>1646</v>
      </c>
      <c r="C177" s="562">
        <f>IF(C176=0,0,C173/1000*C175/C176)</f>
        <v>0</v>
      </c>
      <c r="D177" s="682" t="s">
        <v>1647</v>
      </c>
      <c r="E177" s="146"/>
      <c r="F177" s="208"/>
      <c r="G177" s="692"/>
    </row>
    <row r="178" spans="1:7" x14ac:dyDescent="0.25">
      <c r="A178" s="680"/>
      <c r="B178" s="680"/>
      <c r="C178" s="562"/>
      <c r="D178" s="682"/>
      <c r="E178" s="146"/>
      <c r="F178" s="208"/>
      <c r="G178" s="692"/>
    </row>
    <row r="179" spans="1:7" x14ac:dyDescent="0.25">
      <c r="A179" s="680"/>
      <c r="B179" s="682" t="s">
        <v>1648</v>
      </c>
      <c r="C179" s="426" t="e">
        <f>C191</f>
        <v>#DIV/0!</v>
      </c>
      <c r="D179" s="682" t="s">
        <v>210</v>
      </c>
      <c r="E179" s="146"/>
      <c r="F179" s="209" t="s">
        <v>1649</v>
      </c>
      <c r="G179" s="692"/>
    </row>
    <row r="180" spans="1:7" s="692" customFormat="1" ht="15.75" thickBot="1" x14ac:dyDescent="0.3">
      <c r="A180" s="680"/>
      <c r="B180" s="682" t="s">
        <v>1650</v>
      </c>
      <c r="C180" s="561" t="e">
        <f>C193</f>
        <v>#DIV/0!</v>
      </c>
      <c r="D180" s="682" t="s">
        <v>210</v>
      </c>
      <c r="E180" s="146"/>
      <c r="F180" s="208"/>
    </row>
    <row r="181" spans="1:7" ht="17.25" thickBot="1" x14ac:dyDescent="0.3">
      <c r="A181" s="132" t="s">
        <v>1651</v>
      </c>
      <c r="B181" s="132" t="s">
        <v>1551</v>
      </c>
      <c r="C181" s="1119">
        <f>IF(C177=0,0,C177*C180/100)</f>
        <v>0</v>
      </c>
      <c r="D181" s="150" t="s">
        <v>1652</v>
      </c>
      <c r="E181" s="40" t="str">
        <f>IF('Input Data'!E16=0,"",IF(C181&lt;0.4,"COMPLIANT","NOT COMPLIANT"))</f>
        <v/>
      </c>
      <c r="F181" s="294" t="s">
        <v>1653</v>
      </c>
      <c r="G181" s="692"/>
    </row>
    <row r="182" spans="1:7" ht="15.75" thickBot="1" x14ac:dyDescent="0.3">
      <c r="A182" s="185"/>
      <c r="B182" s="187"/>
      <c r="C182" s="563"/>
      <c r="D182" s="261"/>
      <c r="E182" s="192"/>
      <c r="F182" s="193"/>
      <c r="G182" s="692"/>
    </row>
    <row r="183" spans="1:7" ht="15.75" thickBot="1" x14ac:dyDescent="0.3">
      <c r="A183" s="18" t="s">
        <v>287</v>
      </c>
      <c r="B183" s="19" t="s">
        <v>229</v>
      </c>
      <c r="C183" s="524" t="s">
        <v>232</v>
      </c>
      <c r="D183" s="19" t="s">
        <v>342</v>
      </c>
      <c r="E183" s="19" t="s">
        <v>231</v>
      </c>
      <c r="F183" s="278" t="s">
        <v>344</v>
      </c>
      <c r="G183" s="147"/>
    </row>
    <row r="184" spans="1:7" ht="27.75" thickBot="1" x14ac:dyDescent="0.3">
      <c r="A184" s="6" t="s">
        <v>1550</v>
      </c>
      <c r="B184" s="679" t="s">
        <v>1654</v>
      </c>
      <c r="C184" s="525" t="s">
        <v>1655</v>
      </c>
      <c r="D184" s="1423" t="s">
        <v>1656</v>
      </c>
      <c r="E184" s="714"/>
      <c r="F184" s="97" t="s">
        <v>1657</v>
      </c>
      <c r="G184" s="692"/>
    </row>
    <row r="185" spans="1:7" ht="15.75" thickBot="1" x14ac:dyDescent="0.3">
      <c r="A185" s="17" t="s">
        <v>1658</v>
      </c>
      <c r="B185" s="180" t="s">
        <v>229</v>
      </c>
      <c r="C185" s="492"/>
      <c r="D185" s="3"/>
      <c r="E185" s="3"/>
      <c r="F185" s="279"/>
      <c r="G185" s="692"/>
    </row>
    <row r="186" spans="1:7" x14ac:dyDescent="0.25">
      <c r="A186" s="111"/>
      <c r="B186" s="57"/>
      <c r="C186" s="564"/>
      <c r="D186" s="57"/>
      <c r="E186" s="170"/>
      <c r="F186" s="680"/>
      <c r="G186" s="692"/>
    </row>
    <row r="187" spans="1:7" x14ac:dyDescent="0.25">
      <c r="A187" s="25"/>
      <c r="B187" s="680" t="s">
        <v>1659</v>
      </c>
      <c r="C187" s="565">
        <f>'Conversion factors'!B28</f>
        <v>16534</v>
      </c>
      <c r="D187" s="104" t="s">
        <v>1660</v>
      </c>
      <c r="E187" s="76"/>
      <c r="F187" s="76" t="s">
        <v>1661</v>
      </c>
      <c r="G187" s="692"/>
    </row>
    <row r="188" spans="1:7" x14ac:dyDescent="0.25">
      <c r="A188" s="25"/>
      <c r="B188" s="680" t="s">
        <v>1662</v>
      </c>
      <c r="C188" s="63">
        <f>'Conversion factors'!B29</f>
        <v>21.2</v>
      </c>
      <c r="D188" s="104" t="s">
        <v>1663</v>
      </c>
      <c r="E188" s="680"/>
      <c r="F188" s="680"/>
      <c r="G188" s="692"/>
    </row>
    <row r="189" spans="1:7" x14ac:dyDescent="0.25">
      <c r="A189" s="111"/>
      <c r="B189" s="57"/>
      <c r="C189" s="564"/>
      <c r="D189" s="57"/>
      <c r="E189" s="170"/>
      <c r="F189" s="680"/>
      <c r="G189" s="692"/>
    </row>
    <row r="190" spans="1:7" x14ac:dyDescent="0.25">
      <c r="A190" s="111"/>
      <c r="B190" s="682" t="s">
        <v>1664</v>
      </c>
      <c r="C190" s="63" t="e">
        <f>C188*'Input Data'!E17*1000/('Input Data'!E17*1000*'P3 Mill'!C188+'P3 Mill'!C187*'Input Data'!E16)*100</f>
        <v>#DIV/0!</v>
      </c>
      <c r="D190" s="85" t="s">
        <v>210</v>
      </c>
      <c r="E190" s="149"/>
      <c r="F190" s="76"/>
      <c r="G190" s="692"/>
    </row>
    <row r="191" spans="1:7" x14ac:dyDescent="0.25">
      <c r="A191" s="111"/>
      <c r="B191" s="682" t="s">
        <v>1648</v>
      </c>
      <c r="C191" s="62" t="e">
        <f>100-C190</f>
        <v>#DIV/0!</v>
      </c>
      <c r="D191" s="85" t="s">
        <v>210</v>
      </c>
      <c r="E191" s="149"/>
      <c r="F191" s="680"/>
      <c r="G191" s="692"/>
    </row>
    <row r="192" spans="1:7" ht="40.5" x14ac:dyDescent="0.25">
      <c r="A192" s="111"/>
      <c r="B192" s="682" t="s">
        <v>1665</v>
      </c>
      <c r="C192" s="62" t="e">
        <f>100*('Input Data'!E17*0.791)*('Input Data'!E356*1000/0.791)/(('Input Data'!E17*0.791*'Input Data'!E356*1000/0.791)+('Input Data'!E16*'Input Data'!E323))</f>
        <v>#DIV/0!</v>
      </c>
      <c r="D192" s="85" t="s">
        <v>210</v>
      </c>
      <c r="E192" s="149"/>
      <c r="F192" s="686" t="s">
        <v>1666</v>
      </c>
      <c r="G192" s="692"/>
    </row>
    <row r="193" spans="1:379" s="147" customFormat="1" x14ac:dyDescent="0.25">
      <c r="A193" s="111"/>
      <c r="B193" s="682" t="s">
        <v>1650</v>
      </c>
      <c r="C193" s="62" t="e">
        <f>100-C192</f>
        <v>#DIV/0!</v>
      </c>
      <c r="D193" s="85" t="s">
        <v>210</v>
      </c>
      <c r="E193" s="149"/>
      <c r="F193" s="680"/>
      <c r="G193" s="692"/>
    </row>
    <row r="194" spans="1:379" x14ac:dyDescent="0.25">
      <c r="A194" s="111"/>
      <c r="B194" s="682"/>
      <c r="C194" s="62"/>
      <c r="D194" s="85"/>
      <c r="E194" s="149"/>
      <c r="F194" s="680"/>
      <c r="G194" s="692"/>
      <c r="H194" s="692"/>
      <c r="I194" s="692"/>
      <c r="J194" s="692"/>
      <c r="K194" s="692"/>
      <c r="L194" s="692"/>
      <c r="M194" s="692"/>
      <c r="N194" s="692"/>
      <c r="O194" s="692"/>
      <c r="P194" s="692"/>
      <c r="Q194" s="692"/>
      <c r="R194" s="692"/>
      <c r="S194" s="692"/>
      <c r="T194" s="692"/>
      <c r="U194" s="692"/>
      <c r="V194" s="692"/>
      <c r="W194" s="692"/>
      <c r="X194" s="692"/>
      <c r="Y194" s="692"/>
      <c r="Z194" s="692"/>
      <c r="AA194" s="692"/>
      <c r="AB194" s="692"/>
      <c r="AC194" s="692"/>
      <c r="AD194" s="692"/>
      <c r="AE194" s="692"/>
      <c r="AF194" s="692"/>
      <c r="AG194" s="692"/>
      <c r="AH194" s="692"/>
      <c r="AI194" s="692"/>
      <c r="AJ194" s="692"/>
      <c r="AK194" s="692"/>
      <c r="AL194" s="692"/>
      <c r="AM194" s="692"/>
      <c r="AN194" s="692"/>
      <c r="AO194" s="692"/>
      <c r="AP194" s="692"/>
      <c r="AQ194" s="692"/>
      <c r="AR194" s="692"/>
      <c r="AS194" s="692"/>
      <c r="AT194" s="692"/>
      <c r="AU194" s="692"/>
      <c r="AV194" s="692"/>
      <c r="AW194" s="692"/>
      <c r="AX194" s="692"/>
      <c r="AY194" s="692"/>
      <c r="AZ194" s="692"/>
      <c r="BA194" s="692"/>
      <c r="BB194" s="692"/>
      <c r="BC194" s="692"/>
      <c r="BD194" s="692"/>
      <c r="BE194" s="692"/>
      <c r="BF194" s="692"/>
      <c r="BG194" s="692"/>
      <c r="BH194" s="692"/>
      <c r="BI194" s="692"/>
      <c r="BJ194" s="692"/>
      <c r="BK194" s="692"/>
      <c r="BL194" s="692"/>
      <c r="BM194" s="692"/>
      <c r="BN194" s="692"/>
      <c r="BO194" s="692"/>
      <c r="BP194" s="692"/>
      <c r="BQ194" s="692"/>
      <c r="BR194" s="692"/>
      <c r="BS194" s="692"/>
      <c r="BT194" s="692"/>
      <c r="BU194" s="692"/>
      <c r="BV194" s="692"/>
      <c r="BW194" s="692"/>
      <c r="BX194" s="692"/>
      <c r="BY194" s="692"/>
      <c r="BZ194" s="692"/>
      <c r="CA194" s="692"/>
      <c r="CB194" s="692"/>
      <c r="CC194" s="692"/>
      <c r="CD194" s="692"/>
      <c r="CE194" s="692"/>
      <c r="CF194" s="692"/>
      <c r="CG194" s="692"/>
      <c r="CH194" s="692"/>
      <c r="CI194" s="692"/>
      <c r="CJ194" s="692"/>
      <c r="CK194" s="692"/>
      <c r="CL194" s="692"/>
      <c r="CM194" s="692"/>
      <c r="CN194" s="692"/>
      <c r="CO194" s="692"/>
      <c r="CP194" s="692"/>
      <c r="CQ194" s="692"/>
      <c r="CR194" s="692"/>
      <c r="CS194" s="692"/>
      <c r="CT194" s="692"/>
      <c r="CU194" s="692"/>
      <c r="CV194" s="692"/>
      <c r="CW194" s="692"/>
      <c r="CX194" s="692"/>
      <c r="CY194" s="692"/>
      <c r="CZ194" s="692"/>
      <c r="DA194" s="692"/>
      <c r="DB194" s="692"/>
      <c r="DC194" s="692"/>
      <c r="DD194" s="692"/>
      <c r="DE194" s="692"/>
      <c r="DF194" s="692"/>
      <c r="DG194" s="692"/>
      <c r="DH194" s="692"/>
      <c r="DI194" s="692"/>
      <c r="DJ194" s="692"/>
      <c r="DK194" s="692"/>
      <c r="DL194" s="692"/>
      <c r="DM194" s="692"/>
      <c r="DN194" s="692"/>
      <c r="DO194" s="692"/>
      <c r="DP194" s="692"/>
      <c r="DQ194" s="692"/>
      <c r="DR194" s="692"/>
      <c r="DS194" s="692"/>
      <c r="DT194" s="692"/>
      <c r="DU194" s="692"/>
      <c r="DV194" s="692"/>
      <c r="DW194" s="692"/>
      <c r="DX194" s="692"/>
      <c r="DY194" s="692"/>
      <c r="DZ194" s="692"/>
      <c r="EA194" s="692"/>
      <c r="EB194" s="692"/>
      <c r="EC194" s="692"/>
      <c r="ED194" s="692"/>
      <c r="EE194" s="692"/>
      <c r="EF194" s="692"/>
      <c r="EG194" s="692"/>
      <c r="EH194" s="692"/>
      <c r="EI194" s="692"/>
      <c r="EJ194" s="692"/>
      <c r="EK194" s="692"/>
      <c r="EL194" s="692"/>
      <c r="EM194" s="692"/>
      <c r="EN194" s="692"/>
      <c r="EO194" s="692"/>
      <c r="EP194" s="692"/>
      <c r="EQ194" s="692"/>
      <c r="ER194" s="692"/>
      <c r="ES194" s="692"/>
      <c r="ET194" s="692"/>
      <c r="EU194" s="692"/>
      <c r="EV194" s="692"/>
      <c r="EW194" s="692"/>
      <c r="EX194" s="692"/>
      <c r="EY194" s="692"/>
      <c r="EZ194" s="692"/>
      <c r="FA194" s="692"/>
      <c r="FB194" s="692"/>
      <c r="FC194" s="692"/>
      <c r="FD194" s="692"/>
      <c r="FE194" s="692"/>
      <c r="FF194" s="692"/>
      <c r="FG194" s="692"/>
      <c r="FH194" s="692"/>
      <c r="FI194" s="692"/>
      <c r="FJ194" s="692"/>
      <c r="FK194" s="692"/>
      <c r="FL194" s="692"/>
      <c r="FM194" s="692"/>
      <c r="FN194" s="692"/>
      <c r="FO194" s="692"/>
      <c r="FP194" s="692"/>
      <c r="FQ194" s="692"/>
      <c r="FR194" s="692"/>
      <c r="FS194" s="692"/>
      <c r="FT194" s="692"/>
      <c r="FU194" s="692"/>
      <c r="FV194" s="692"/>
      <c r="FW194" s="692"/>
      <c r="FX194" s="692"/>
      <c r="FY194" s="692"/>
      <c r="FZ194" s="692"/>
      <c r="GA194" s="692"/>
      <c r="GB194" s="692"/>
      <c r="GC194" s="692"/>
      <c r="GD194" s="692"/>
      <c r="GE194" s="692"/>
      <c r="GF194" s="692"/>
      <c r="GG194" s="692"/>
      <c r="GH194" s="692"/>
      <c r="GI194" s="692"/>
      <c r="GJ194" s="692"/>
      <c r="GK194" s="692"/>
      <c r="GL194" s="692"/>
      <c r="GM194" s="692"/>
      <c r="GN194" s="692"/>
      <c r="GO194" s="692"/>
      <c r="GP194" s="692"/>
      <c r="GQ194" s="692"/>
      <c r="GR194" s="692"/>
      <c r="GS194" s="692"/>
      <c r="GT194" s="692"/>
      <c r="GU194" s="692"/>
      <c r="GV194" s="692"/>
      <c r="GW194" s="692"/>
      <c r="GX194" s="692"/>
      <c r="GY194" s="692"/>
      <c r="GZ194" s="692"/>
      <c r="HA194" s="692"/>
      <c r="HB194" s="692"/>
      <c r="HC194" s="692"/>
      <c r="HD194" s="692"/>
      <c r="HE194" s="692"/>
      <c r="HF194" s="692"/>
      <c r="HG194" s="692"/>
      <c r="HH194" s="692"/>
      <c r="HI194" s="692"/>
      <c r="HJ194" s="692"/>
      <c r="HK194" s="692"/>
      <c r="HL194" s="692"/>
      <c r="HM194" s="692"/>
      <c r="HN194" s="692"/>
      <c r="HO194" s="692"/>
      <c r="HP194" s="692"/>
      <c r="HQ194" s="692"/>
      <c r="HR194" s="692"/>
      <c r="HS194" s="692"/>
      <c r="HT194" s="692"/>
      <c r="HU194" s="692"/>
      <c r="HV194" s="692"/>
      <c r="HW194" s="692"/>
      <c r="HX194" s="692"/>
      <c r="HY194" s="692"/>
      <c r="HZ194" s="692"/>
      <c r="IA194" s="692"/>
      <c r="IB194" s="692"/>
      <c r="IC194" s="692"/>
      <c r="ID194" s="692"/>
      <c r="IE194" s="692"/>
      <c r="IF194" s="692"/>
      <c r="IG194" s="692"/>
      <c r="IH194" s="692"/>
      <c r="II194" s="692"/>
      <c r="IJ194" s="692"/>
      <c r="IK194" s="692"/>
      <c r="IL194" s="692"/>
      <c r="IM194" s="692"/>
      <c r="IN194" s="692"/>
      <c r="IO194" s="692"/>
      <c r="IP194" s="692"/>
      <c r="IQ194" s="692"/>
      <c r="IR194" s="692"/>
      <c r="IS194" s="692"/>
      <c r="IT194" s="692"/>
      <c r="IU194" s="692"/>
      <c r="IV194" s="692"/>
      <c r="IW194" s="692"/>
      <c r="IX194" s="692"/>
      <c r="IY194" s="692"/>
      <c r="IZ194" s="692"/>
      <c r="JA194" s="692"/>
      <c r="JB194" s="692"/>
      <c r="JC194" s="692"/>
      <c r="JD194" s="692"/>
      <c r="JE194" s="692"/>
      <c r="JF194" s="692"/>
      <c r="JG194" s="692"/>
      <c r="JH194" s="692"/>
      <c r="JI194" s="692"/>
      <c r="JJ194" s="692"/>
      <c r="JK194" s="692"/>
      <c r="JL194" s="692"/>
      <c r="JM194" s="692"/>
      <c r="JN194" s="692"/>
      <c r="JO194" s="692"/>
      <c r="JP194" s="692"/>
      <c r="JQ194" s="692"/>
      <c r="JR194" s="692"/>
      <c r="JS194" s="692"/>
      <c r="JT194" s="692"/>
      <c r="JU194" s="692"/>
      <c r="JV194" s="692"/>
      <c r="JW194" s="692"/>
      <c r="JX194" s="692"/>
      <c r="JY194" s="692"/>
      <c r="JZ194" s="692"/>
      <c r="KA194" s="692"/>
      <c r="KB194" s="692"/>
      <c r="KC194" s="692"/>
      <c r="KD194" s="692"/>
      <c r="KE194" s="692"/>
      <c r="KF194" s="692"/>
      <c r="KG194" s="692"/>
      <c r="KH194" s="692"/>
      <c r="KI194" s="692"/>
      <c r="KJ194" s="692"/>
      <c r="KK194" s="692"/>
      <c r="KL194" s="692"/>
      <c r="KM194" s="692"/>
      <c r="KN194" s="692"/>
      <c r="KO194" s="692"/>
      <c r="KP194" s="692"/>
      <c r="KQ194" s="692"/>
      <c r="KR194" s="692"/>
      <c r="KS194" s="692"/>
      <c r="KT194" s="692"/>
      <c r="KU194" s="692"/>
      <c r="KV194" s="692"/>
      <c r="KW194" s="692"/>
      <c r="KX194" s="692"/>
      <c r="KY194" s="692"/>
      <c r="KZ194" s="692"/>
      <c r="LA194" s="692"/>
      <c r="LB194" s="692"/>
      <c r="LC194" s="692"/>
      <c r="LD194" s="692"/>
      <c r="LE194" s="692"/>
      <c r="LF194" s="692"/>
      <c r="LG194" s="692"/>
      <c r="LH194" s="692"/>
      <c r="LI194" s="692"/>
      <c r="LJ194" s="692"/>
      <c r="LK194" s="692"/>
      <c r="LL194" s="692"/>
      <c r="LM194" s="692"/>
      <c r="LN194" s="692"/>
      <c r="LO194" s="692"/>
      <c r="LP194" s="692"/>
      <c r="LQ194" s="692"/>
      <c r="LR194" s="692"/>
      <c r="LS194" s="692"/>
      <c r="LT194" s="692"/>
      <c r="LU194" s="692"/>
      <c r="LV194" s="692"/>
      <c r="LW194" s="692"/>
      <c r="LX194" s="692"/>
      <c r="LY194" s="692"/>
      <c r="LZ194" s="692"/>
      <c r="MA194" s="692"/>
      <c r="MB194" s="692"/>
      <c r="MC194" s="692"/>
      <c r="MD194" s="692"/>
      <c r="ME194" s="692"/>
      <c r="MF194" s="692"/>
      <c r="MG194" s="692"/>
      <c r="MH194" s="692"/>
      <c r="MI194" s="692"/>
      <c r="MJ194" s="692"/>
      <c r="MK194" s="692"/>
      <c r="ML194" s="692"/>
      <c r="MM194" s="692"/>
      <c r="MN194" s="692"/>
      <c r="MO194" s="692"/>
      <c r="MP194" s="692"/>
      <c r="MQ194" s="692"/>
      <c r="MR194" s="692"/>
      <c r="MS194" s="692"/>
      <c r="MT194" s="692"/>
      <c r="MU194" s="692"/>
      <c r="MV194" s="692"/>
      <c r="MW194" s="692"/>
      <c r="MX194" s="692"/>
      <c r="MY194" s="692"/>
      <c r="MZ194" s="692"/>
      <c r="NA194" s="692"/>
      <c r="NB194" s="692"/>
      <c r="NC194" s="692"/>
      <c r="ND194" s="692"/>
      <c r="NE194" s="692"/>
      <c r="NF194" s="692"/>
      <c r="NG194" s="692"/>
      <c r="NH194" s="692"/>
      <c r="NI194" s="692"/>
      <c r="NJ194" s="692"/>
      <c r="NK194" s="692"/>
      <c r="NL194" s="692"/>
      <c r="NM194" s="692"/>
      <c r="NN194" s="692"/>
      <c r="NO194" s="692"/>
    </row>
    <row r="195" spans="1:379" s="692" customFormat="1" ht="16.5" x14ac:dyDescent="0.25">
      <c r="A195" s="111"/>
      <c r="B195" s="680" t="s">
        <v>1667</v>
      </c>
      <c r="C195" s="566" t="e">
        <f>IF(C191=0,0,C181)</f>
        <v>#DIV/0!</v>
      </c>
      <c r="D195" s="682" t="s">
        <v>1668</v>
      </c>
      <c r="E195" s="309"/>
      <c r="F195" s="680"/>
    </row>
    <row r="196" spans="1:379" s="692" customFormat="1" ht="16.5" x14ac:dyDescent="0.25">
      <c r="A196" s="111"/>
      <c r="B196" s="682" t="s">
        <v>1669</v>
      </c>
      <c r="C196" s="565" t="e">
        <f>IF(C192=0,0,C173*1000*'Input Data'!E15*C192/100/'Input Data'!E17/1000)</f>
        <v>#DIV/0!</v>
      </c>
      <c r="D196" s="682" t="s">
        <v>1670</v>
      </c>
      <c r="E196" s="149"/>
      <c r="F196" s="25"/>
    </row>
    <row r="197" spans="1:379" x14ac:dyDescent="0.25">
      <c r="A197" s="111"/>
      <c r="B197" s="680"/>
      <c r="C197" s="566"/>
      <c r="D197" s="682"/>
      <c r="E197" s="149"/>
      <c r="F197" s="58"/>
      <c r="G197" s="692"/>
      <c r="H197" s="692"/>
      <c r="I197" s="692"/>
      <c r="J197" s="692"/>
      <c r="K197" s="692"/>
      <c r="L197" s="692"/>
      <c r="M197" s="692"/>
      <c r="N197" s="692"/>
      <c r="O197" s="692"/>
      <c r="P197" s="692"/>
      <c r="Q197" s="692"/>
      <c r="R197" s="692"/>
      <c r="S197" s="692"/>
      <c r="T197" s="692"/>
      <c r="U197" s="692"/>
      <c r="V197" s="692"/>
      <c r="W197" s="692"/>
      <c r="X197" s="692"/>
      <c r="Y197" s="692"/>
      <c r="Z197" s="692"/>
      <c r="AA197" s="692"/>
      <c r="AB197" s="692"/>
      <c r="AC197" s="692"/>
      <c r="AD197" s="692"/>
      <c r="AE197" s="692"/>
      <c r="AF197" s="692"/>
      <c r="AG197" s="692"/>
      <c r="AH197" s="692"/>
      <c r="AI197" s="692"/>
      <c r="AJ197" s="692"/>
      <c r="AK197" s="692"/>
      <c r="AL197" s="692"/>
      <c r="AM197" s="692"/>
      <c r="AN197" s="692"/>
      <c r="AO197" s="692"/>
      <c r="AP197" s="692"/>
      <c r="AQ197" s="692"/>
      <c r="AR197" s="692"/>
      <c r="AS197" s="692"/>
      <c r="AT197" s="692"/>
      <c r="AU197" s="692"/>
      <c r="AV197" s="692"/>
      <c r="AW197" s="692"/>
      <c r="AX197" s="692"/>
      <c r="AY197" s="692"/>
      <c r="AZ197" s="692"/>
      <c r="BA197" s="692"/>
      <c r="BB197" s="692"/>
      <c r="BC197" s="692"/>
      <c r="BD197" s="692"/>
      <c r="BE197" s="692"/>
      <c r="BF197" s="692"/>
      <c r="BG197" s="692"/>
      <c r="BH197" s="692"/>
      <c r="BI197" s="692"/>
      <c r="BJ197" s="692"/>
      <c r="BK197" s="692"/>
      <c r="BL197" s="692"/>
      <c r="BM197" s="692"/>
      <c r="BN197" s="692"/>
      <c r="BO197" s="692"/>
      <c r="BP197" s="692"/>
      <c r="BQ197" s="692"/>
      <c r="BR197" s="692"/>
      <c r="BS197" s="692"/>
      <c r="BT197" s="692"/>
      <c r="BU197" s="692"/>
      <c r="BV197" s="692"/>
      <c r="BW197" s="692"/>
      <c r="BX197" s="692"/>
      <c r="BY197" s="692"/>
      <c r="BZ197" s="692"/>
      <c r="CA197" s="692"/>
      <c r="CB197" s="692"/>
      <c r="CC197" s="692"/>
      <c r="CD197" s="692"/>
      <c r="CE197" s="692"/>
      <c r="CF197" s="692"/>
      <c r="CG197" s="692"/>
      <c r="CH197" s="692"/>
      <c r="CI197" s="692"/>
      <c r="CJ197" s="692"/>
      <c r="CK197" s="692"/>
      <c r="CL197" s="692"/>
      <c r="CM197" s="692"/>
      <c r="CN197" s="692"/>
      <c r="CO197" s="692"/>
      <c r="CP197" s="692"/>
      <c r="CQ197" s="692"/>
      <c r="CR197" s="692"/>
      <c r="CS197" s="692"/>
      <c r="CT197" s="692"/>
      <c r="CU197" s="692"/>
      <c r="CV197" s="692"/>
      <c r="CW197" s="692"/>
      <c r="CX197" s="692"/>
      <c r="CY197" s="692"/>
      <c r="CZ197" s="692"/>
      <c r="DA197" s="692"/>
      <c r="DB197" s="692"/>
      <c r="DC197" s="692"/>
      <c r="DD197" s="692"/>
      <c r="DE197" s="692"/>
      <c r="DF197" s="692"/>
      <c r="DG197" s="692"/>
      <c r="DH197" s="692"/>
      <c r="DI197" s="692"/>
      <c r="DJ197" s="692"/>
      <c r="DK197" s="692"/>
      <c r="DL197" s="692"/>
      <c r="DM197" s="692"/>
      <c r="DN197" s="692"/>
      <c r="DO197" s="692"/>
      <c r="DP197" s="692"/>
      <c r="DQ197" s="692"/>
      <c r="DR197" s="692"/>
      <c r="DS197" s="692"/>
      <c r="DT197" s="692"/>
      <c r="DU197" s="692"/>
      <c r="DV197" s="692"/>
      <c r="DW197" s="692"/>
      <c r="DX197" s="692"/>
      <c r="DY197" s="692"/>
      <c r="DZ197" s="692"/>
      <c r="EA197" s="692"/>
      <c r="EB197" s="692"/>
      <c r="EC197" s="692"/>
      <c r="ED197" s="692"/>
      <c r="EE197" s="692"/>
      <c r="EF197" s="692"/>
      <c r="EG197" s="692"/>
      <c r="EH197" s="692"/>
      <c r="EI197" s="692"/>
      <c r="EJ197" s="692"/>
      <c r="EK197" s="692"/>
      <c r="EL197" s="692"/>
      <c r="EM197" s="692"/>
      <c r="EN197" s="692"/>
      <c r="EO197" s="692"/>
      <c r="EP197" s="692"/>
      <c r="EQ197" s="692"/>
      <c r="ER197" s="692"/>
      <c r="ES197" s="692"/>
      <c r="ET197" s="692"/>
      <c r="EU197" s="692"/>
      <c r="EV197" s="692"/>
      <c r="EW197" s="692"/>
      <c r="EX197" s="692"/>
      <c r="EY197" s="692"/>
      <c r="EZ197" s="692"/>
      <c r="FA197" s="692"/>
      <c r="FB197" s="692"/>
      <c r="FC197" s="692"/>
      <c r="FD197" s="692"/>
      <c r="FE197" s="692"/>
      <c r="FF197" s="692"/>
      <c r="FG197" s="692"/>
      <c r="FH197" s="692"/>
      <c r="FI197" s="692"/>
      <c r="FJ197" s="692"/>
      <c r="FK197" s="692"/>
      <c r="FL197" s="692"/>
      <c r="FM197" s="692"/>
      <c r="FN197" s="692"/>
      <c r="FO197" s="692"/>
      <c r="FP197" s="692"/>
      <c r="FQ197" s="692"/>
      <c r="FR197" s="692"/>
      <c r="FS197" s="692"/>
      <c r="FT197" s="692"/>
      <c r="FU197" s="692"/>
      <c r="FV197" s="692"/>
      <c r="FW197" s="692"/>
      <c r="FX197" s="692"/>
      <c r="FY197" s="692"/>
      <c r="FZ197" s="692"/>
      <c r="GA197" s="692"/>
      <c r="GB197" s="692"/>
      <c r="GC197" s="692"/>
      <c r="GD197" s="692"/>
      <c r="GE197" s="692"/>
      <c r="GF197" s="692"/>
      <c r="GG197" s="692"/>
      <c r="GH197" s="692"/>
      <c r="GI197" s="692"/>
      <c r="GJ197" s="692"/>
      <c r="GK197" s="692"/>
      <c r="GL197" s="692"/>
      <c r="GM197" s="692"/>
      <c r="GN197" s="692"/>
      <c r="GO197" s="692"/>
      <c r="GP197" s="692"/>
      <c r="GQ197" s="692"/>
      <c r="GR197" s="692"/>
      <c r="GS197" s="692"/>
      <c r="GT197" s="692"/>
      <c r="GU197" s="692"/>
      <c r="GV197" s="692"/>
      <c r="GW197" s="692"/>
      <c r="GX197" s="692"/>
      <c r="GY197" s="692"/>
      <c r="GZ197" s="692"/>
      <c r="HA197" s="692"/>
      <c r="HB197" s="692"/>
      <c r="HC197" s="692"/>
      <c r="HD197" s="692"/>
      <c r="HE197" s="692"/>
      <c r="HF197" s="692"/>
      <c r="HG197" s="692"/>
      <c r="HH197" s="692"/>
      <c r="HI197" s="692"/>
      <c r="HJ197" s="692"/>
      <c r="HK197" s="692"/>
      <c r="HL197" s="692"/>
      <c r="HM197" s="692"/>
      <c r="HN197" s="692"/>
      <c r="HO197" s="692"/>
      <c r="HP197" s="692"/>
      <c r="HQ197" s="692"/>
      <c r="HR197" s="692"/>
      <c r="HS197" s="692"/>
      <c r="HT197" s="692"/>
      <c r="HU197" s="692"/>
      <c r="HV197" s="692"/>
      <c r="HW197" s="692"/>
      <c r="HX197" s="692"/>
      <c r="HY197" s="692"/>
      <c r="HZ197" s="692"/>
      <c r="IA197" s="692"/>
      <c r="IB197" s="692"/>
      <c r="IC197" s="692"/>
      <c r="ID197" s="692"/>
      <c r="IE197" s="692"/>
      <c r="IF197" s="692"/>
      <c r="IG197" s="692"/>
      <c r="IH197" s="692"/>
      <c r="II197" s="692"/>
      <c r="IJ197" s="692"/>
      <c r="IK197" s="692"/>
      <c r="IL197" s="692"/>
      <c r="IM197" s="692"/>
      <c r="IN197" s="692"/>
      <c r="IO197" s="692"/>
      <c r="IP197" s="692"/>
      <c r="IQ197" s="692"/>
      <c r="IR197" s="692"/>
      <c r="IS197" s="692"/>
      <c r="IT197" s="692"/>
      <c r="IU197" s="692"/>
      <c r="IV197" s="692"/>
      <c r="IW197" s="692"/>
      <c r="IX197" s="692"/>
      <c r="IY197" s="692"/>
      <c r="IZ197" s="692"/>
      <c r="JA197" s="692"/>
      <c r="JB197" s="692"/>
      <c r="JC197" s="692"/>
      <c r="JD197" s="692"/>
      <c r="JE197" s="692"/>
      <c r="JF197" s="692"/>
      <c r="JG197" s="692"/>
      <c r="JH197" s="692"/>
      <c r="JI197" s="692"/>
      <c r="JJ197" s="692"/>
      <c r="JK197" s="692"/>
      <c r="JL197" s="692"/>
      <c r="JM197" s="692"/>
      <c r="JN197" s="692"/>
      <c r="JO197" s="692"/>
      <c r="JP197" s="692"/>
      <c r="JQ197" s="692"/>
      <c r="JR197" s="692"/>
      <c r="JS197" s="692"/>
      <c r="JT197" s="692"/>
      <c r="JU197" s="692"/>
      <c r="JV197" s="692"/>
      <c r="JW197" s="692"/>
      <c r="JX197" s="692"/>
      <c r="JY197" s="692"/>
      <c r="JZ197" s="692"/>
      <c r="KA197" s="692"/>
      <c r="KB197" s="692"/>
      <c r="KC197" s="692"/>
      <c r="KD197" s="692"/>
      <c r="KE197" s="692"/>
      <c r="KF197" s="692"/>
      <c r="KG197" s="692"/>
      <c r="KH197" s="692"/>
      <c r="KI197" s="692"/>
      <c r="KJ197" s="692"/>
      <c r="KK197" s="692"/>
      <c r="KL197" s="692"/>
      <c r="KM197" s="692"/>
      <c r="KN197" s="692"/>
      <c r="KO197" s="692"/>
      <c r="KP197" s="692"/>
      <c r="KQ197" s="692"/>
      <c r="KR197" s="692"/>
      <c r="KS197" s="692"/>
      <c r="KT197" s="692"/>
      <c r="KU197" s="692"/>
      <c r="KV197" s="692"/>
      <c r="KW197" s="692"/>
      <c r="KX197" s="692"/>
      <c r="KY197" s="692"/>
      <c r="KZ197" s="692"/>
      <c r="LA197" s="692"/>
      <c r="LB197" s="692"/>
      <c r="LC197" s="692"/>
      <c r="LD197" s="692"/>
      <c r="LE197" s="692"/>
      <c r="LF197" s="692"/>
      <c r="LG197" s="692"/>
      <c r="LH197" s="692"/>
      <c r="LI197" s="692"/>
      <c r="LJ197" s="692"/>
      <c r="LK197" s="692"/>
      <c r="LL197" s="692"/>
      <c r="LM197" s="692"/>
      <c r="LN197" s="692"/>
      <c r="LO197" s="692"/>
      <c r="LP197" s="692"/>
      <c r="LQ197" s="692"/>
      <c r="LR197" s="692"/>
      <c r="LS197" s="692"/>
      <c r="LT197" s="692"/>
      <c r="LU197" s="692"/>
      <c r="LV197" s="692"/>
      <c r="LW197" s="692"/>
      <c r="LX197" s="692"/>
      <c r="LY197" s="692"/>
      <c r="LZ197" s="692"/>
      <c r="MA197" s="692"/>
      <c r="MB197" s="692"/>
      <c r="MC197" s="692"/>
      <c r="MD197" s="692"/>
      <c r="ME197" s="692"/>
      <c r="MF197" s="692"/>
      <c r="MG197" s="692"/>
      <c r="MH197" s="692"/>
      <c r="MI197" s="692"/>
      <c r="MJ197" s="692"/>
      <c r="MK197" s="692"/>
      <c r="ML197" s="692"/>
      <c r="MM197" s="692"/>
      <c r="MN197" s="692"/>
      <c r="MO197" s="692"/>
      <c r="MP197" s="692"/>
      <c r="MQ197" s="692"/>
      <c r="MR197" s="692"/>
      <c r="MS197" s="692"/>
      <c r="MT197" s="692"/>
      <c r="MU197" s="692"/>
      <c r="MV197" s="692"/>
      <c r="MW197" s="692"/>
      <c r="MX197" s="692"/>
      <c r="MY197" s="692"/>
      <c r="MZ197" s="692"/>
      <c r="NA197" s="692"/>
      <c r="NB197" s="692"/>
      <c r="NC197" s="692"/>
      <c r="ND197" s="692"/>
      <c r="NE197" s="692"/>
      <c r="NF197" s="692"/>
      <c r="NG197" s="692"/>
      <c r="NH197" s="692"/>
      <c r="NI197" s="692"/>
      <c r="NJ197" s="692"/>
      <c r="NK197" s="692"/>
      <c r="NL197" s="692"/>
      <c r="NM197" s="692"/>
      <c r="NN197" s="692"/>
      <c r="NO197" s="692"/>
    </row>
    <row r="198" spans="1:379" ht="16.5" x14ac:dyDescent="0.25">
      <c r="A198" s="111"/>
      <c r="B198" s="693" t="s">
        <v>1667</v>
      </c>
      <c r="C198" s="694" t="e">
        <f>C187/C195*1000000/1000000</f>
        <v>#DIV/0!</v>
      </c>
      <c r="D198" s="695" t="s">
        <v>1578</v>
      </c>
      <c r="E198" s="149"/>
      <c r="F198" s="58"/>
      <c r="G198" s="692"/>
      <c r="H198" s="692"/>
      <c r="I198" s="692"/>
      <c r="J198" s="692"/>
      <c r="K198" s="692"/>
      <c r="L198" s="692"/>
      <c r="M198" s="692"/>
      <c r="N198" s="692"/>
      <c r="O198" s="692"/>
      <c r="P198" s="692"/>
      <c r="Q198" s="692"/>
      <c r="R198" s="692"/>
      <c r="S198" s="692"/>
      <c r="T198" s="692"/>
      <c r="U198" s="692"/>
      <c r="V198" s="692"/>
      <c r="W198" s="692"/>
      <c r="X198" s="692"/>
      <c r="Y198" s="692"/>
      <c r="Z198" s="692"/>
      <c r="AA198" s="692"/>
      <c r="AB198" s="692"/>
      <c r="AC198" s="692"/>
      <c r="AD198" s="692"/>
      <c r="AE198" s="692"/>
      <c r="AF198" s="692"/>
      <c r="AG198" s="692"/>
      <c r="AH198" s="692"/>
      <c r="AI198" s="692"/>
      <c r="AJ198" s="692"/>
      <c r="AK198" s="692"/>
      <c r="AL198" s="692"/>
      <c r="AM198" s="692"/>
      <c r="AN198" s="692"/>
      <c r="AO198" s="692"/>
      <c r="AP198" s="692"/>
      <c r="AQ198" s="692"/>
      <c r="AR198" s="692"/>
      <c r="AS198" s="692"/>
      <c r="AT198" s="692"/>
      <c r="AU198" s="692"/>
      <c r="AV198" s="692"/>
      <c r="AW198" s="692"/>
      <c r="AX198" s="692"/>
      <c r="AY198" s="692"/>
      <c r="AZ198" s="692"/>
      <c r="BA198" s="692"/>
      <c r="BB198" s="692"/>
      <c r="BC198" s="692"/>
      <c r="BD198" s="692"/>
      <c r="BE198" s="692"/>
      <c r="BF198" s="692"/>
      <c r="BG198" s="692"/>
      <c r="BH198" s="692"/>
      <c r="BI198" s="692"/>
      <c r="BJ198" s="692"/>
      <c r="BK198" s="692"/>
      <c r="BL198" s="692"/>
      <c r="BM198" s="692"/>
      <c r="BN198" s="692"/>
      <c r="BO198" s="692"/>
      <c r="BP198" s="692"/>
      <c r="BQ198" s="692"/>
      <c r="BR198" s="692"/>
      <c r="BS198" s="692"/>
      <c r="BT198" s="692"/>
      <c r="BU198" s="692"/>
      <c r="BV198" s="692"/>
      <c r="BW198" s="692"/>
      <c r="BX198" s="692"/>
      <c r="BY198" s="692"/>
      <c r="BZ198" s="692"/>
      <c r="CA198" s="692"/>
      <c r="CB198" s="692"/>
      <c r="CC198" s="692"/>
      <c r="CD198" s="692"/>
      <c r="CE198" s="692"/>
      <c r="CF198" s="692"/>
      <c r="CG198" s="692"/>
      <c r="CH198" s="692"/>
      <c r="CI198" s="692"/>
      <c r="CJ198" s="692"/>
      <c r="CK198" s="692"/>
      <c r="CL198" s="692"/>
      <c r="CM198" s="692"/>
      <c r="CN198" s="692"/>
      <c r="CO198" s="692"/>
      <c r="CP198" s="692"/>
      <c r="CQ198" s="692"/>
      <c r="CR198" s="692"/>
      <c r="CS198" s="692"/>
      <c r="CT198" s="692"/>
      <c r="CU198" s="692"/>
      <c r="CV198" s="692"/>
      <c r="CW198" s="692"/>
      <c r="CX198" s="692"/>
      <c r="CY198" s="692"/>
      <c r="CZ198" s="692"/>
      <c r="DA198" s="692"/>
      <c r="DB198" s="692"/>
      <c r="DC198" s="692"/>
      <c r="DD198" s="692"/>
      <c r="DE198" s="692"/>
      <c r="DF198" s="692"/>
      <c r="DG198" s="692"/>
      <c r="DH198" s="692"/>
      <c r="DI198" s="692"/>
      <c r="DJ198" s="692"/>
      <c r="DK198" s="692"/>
      <c r="DL198" s="692"/>
      <c r="DM198" s="692"/>
      <c r="DN198" s="692"/>
      <c r="DO198" s="692"/>
      <c r="DP198" s="692"/>
      <c r="DQ198" s="692"/>
      <c r="DR198" s="692"/>
      <c r="DS198" s="692"/>
      <c r="DT198" s="692"/>
      <c r="DU198" s="692"/>
      <c r="DV198" s="692"/>
      <c r="DW198" s="692"/>
      <c r="DX198" s="692"/>
      <c r="DY198" s="692"/>
      <c r="DZ198" s="692"/>
      <c r="EA198" s="692"/>
      <c r="EB198" s="692"/>
      <c r="EC198" s="692"/>
      <c r="ED198" s="692"/>
      <c r="EE198" s="692"/>
      <c r="EF198" s="692"/>
      <c r="EG198" s="692"/>
      <c r="EH198" s="692"/>
      <c r="EI198" s="692"/>
      <c r="EJ198" s="692"/>
      <c r="EK198" s="692"/>
      <c r="EL198" s="692"/>
      <c r="EM198" s="692"/>
      <c r="EN198" s="692"/>
      <c r="EO198" s="692"/>
      <c r="EP198" s="692"/>
      <c r="EQ198" s="692"/>
      <c r="ER198" s="692"/>
      <c r="ES198" s="692"/>
      <c r="ET198" s="692"/>
      <c r="EU198" s="692"/>
      <c r="EV198" s="692"/>
      <c r="EW198" s="692"/>
      <c r="EX198" s="692"/>
      <c r="EY198" s="692"/>
      <c r="EZ198" s="692"/>
      <c r="FA198" s="692"/>
      <c r="FB198" s="692"/>
      <c r="FC198" s="692"/>
      <c r="FD198" s="692"/>
      <c r="FE198" s="692"/>
      <c r="FF198" s="692"/>
      <c r="FG198" s="692"/>
      <c r="FH198" s="692"/>
      <c r="FI198" s="692"/>
      <c r="FJ198" s="692"/>
      <c r="FK198" s="692"/>
      <c r="FL198" s="692"/>
      <c r="FM198" s="692"/>
      <c r="FN198" s="692"/>
      <c r="FO198" s="692"/>
      <c r="FP198" s="692"/>
      <c r="FQ198" s="692"/>
      <c r="FR198" s="692"/>
      <c r="FS198" s="692"/>
      <c r="FT198" s="692"/>
      <c r="FU198" s="692"/>
      <c r="FV198" s="692"/>
      <c r="FW198" s="692"/>
      <c r="FX198" s="692"/>
      <c r="FY198" s="692"/>
      <c r="FZ198" s="692"/>
      <c r="GA198" s="692"/>
      <c r="GB198" s="692"/>
      <c r="GC198" s="692"/>
      <c r="GD198" s="692"/>
      <c r="GE198" s="692"/>
      <c r="GF198" s="692"/>
      <c r="GG198" s="692"/>
      <c r="GH198" s="692"/>
      <c r="GI198" s="692"/>
      <c r="GJ198" s="692"/>
      <c r="GK198" s="692"/>
      <c r="GL198" s="692"/>
      <c r="GM198" s="692"/>
      <c r="GN198" s="692"/>
      <c r="GO198" s="692"/>
      <c r="GP198" s="692"/>
      <c r="GQ198" s="692"/>
      <c r="GR198" s="692"/>
      <c r="GS198" s="692"/>
      <c r="GT198" s="692"/>
      <c r="GU198" s="692"/>
      <c r="GV198" s="692"/>
      <c r="GW198" s="692"/>
      <c r="GX198" s="692"/>
      <c r="GY198" s="692"/>
      <c r="GZ198" s="692"/>
      <c r="HA198" s="692"/>
      <c r="HB198" s="692"/>
      <c r="HC198" s="692"/>
      <c r="HD198" s="692"/>
      <c r="HE198" s="692"/>
      <c r="HF198" s="692"/>
      <c r="HG198" s="692"/>
      <c r="HH198" s="692"/>
      <c r="HI198" s="692"/>
      <c r="HJ198" s="692"/>
      <c r="HK198" s="692"/>
      <c r="HL198" s="692"/>
      <c r="HM198" s="692"/>
      <c r="HN198" s="692"/>
      <c r="HO198" s="692"/>
      <c r="HP198" s="692"/>
      <c r="HQ198" s="692"/>
      <c r="HR198" s="692"/>
      <c r="HS198" s="692"/>
      <c r="HT198" s="692"/>
      <c r="HU198" s="692"/>
      <c r="HV198" s="692"/>
      <c r="HW198" s="692"/>
      <c r="HX198" s="692"/>
      <c r="HY198" s="692"/>
      <c r="HZ198" s="692"/>
      <c r="IA198" s="692"/>
      <c r="IB198" s="692"/>
      <c r="IC198" s="692"/>
      <c r="ID198" s="692"/>
      <c r="IE198" s="692"/>
      <c r="IF198" s="692"/>
      <c r="IG198" s="692"/>
      <c r="IH198" s="692"/>
      <c r="II198" s="692"/>
      <c r="IJ198" s="692"/>
      <c r="IK198" s="692"/>
      <c r="IL198" s="692"/>
      <c r="IM198" s="692"/>
      <c r="IN198" s="692"/>
      <c r="IO198" s="692"/>
      <c r="IP198" s="692"/>
      <c r="IQ198" s="692"/>
      <c r="IR198" s="692"/>
      <c r="IS198" s="692"/>
      <c r="IT198" s="692"/>
      <c r="IU198" s="692"/>
      <c r="IV198" s="692"/>
      <c r="IW198" s="692"/>
      <c r="IX198" s="692"/>
      <c r="IY198" s="692"/>
      <c r="IZ198" s="692"/>
      <c r="JA198" s="692"/>
      <c r="JB198" s="692"/>
      <c r="JC198" s="692"/>
      <c r="JD198" s="692"/>
      <c r="JE198" s="692"/>
      <c r="JF198" s="692"/>
      <c r="JG198" s="692"/>
      <c r="JH198" s="692"/>
      <c r="JI198" s="692"/>
      <c r="JJ198" s="692"/>
      <c r="JK198" s="692"/>
      <c r="JL198" s="692"/>
      <c r="JM198" s="692"/>
      <c r="JN198" s="692"/>
      <c r="JO198" s="692"/>
      <c r="JP198" s="692"/>
      <c r="JQ198" s="692"/>
      <c r="JR198" s="692"/>
      <c r="JS198" s="692"/>
      <c r="JT198" s="692"/>
      <c r="JU198" s="692"/>
      <c r="JV198" s="692"/>
      <c r="JW198" s="692"/>
      <c r="JX198" s="692"/>
      <c r="JY198" s="692"/>
      <c r="JZ198" s="692"/>
      <c r="KA198" s="692"/>
      <c r="KB198" s="692"/>
      <c r="KC198" s="692"/>
      <c r="KD198" s="692"/>
      <c r="KE198" s="692"/>
      <c r="KF198" s="692"/>
      <c r="KG198" s="692"/>
      <c r="KH198" s="692"/>
      <c r="KI198" s="692"/>
      <c r="KJ198" s="692"/>
      <c r="KK198" s="692"/>
      <c r="KL198" s="692"/>
      <c r="KM198" s="692"/>
      <c r="KN198" s="692"/>
      <c r="KO198" s="692"/>
      <c r="KP198" s="692"/>
      <c r="KQ198" s="692"/>
      <c r="KR198" s="692"/>
      <c r="KS198" s="692"/>
      <c r="KT198" s="692"/>
      <c r="KU198" s="692"/>
      <c r="KV198" s="692"/>
      <c r="KW198" s="692"/>
      <c r="KX198" s="692"/>
      <c r="KY198" s="692"/>
      <c r="KZ198" s="692"/>
      <c r="LA198" s="692"/>
      <c r="LB198" s="692"/>
      <c r="LC198" s="692"/>
      <c r="LD198" s="692"/>
      <c r="LE198" s="692"/>
      <c r="LF198" s="692"/>
      <c r="LG198" s="692"/>
      <c r="LH198" s="692"/>
      <c r="LI198" s="692"/>
      <c r="LJ198" s="692"/>
      <c r="LK198" s="692"/>
      <c r="LL198" s="692"/>
      <c r="LM198" s="692"/>
      <c r="LN198" s="692"/>
      <c r="LO198" s="692"/>
      <c r="LP198" s="692"/>
      <c r="LQ198" s="692"/>
      <c r="LR198" s="692"/>
      <c r="LS198" s="692"/>
      <c r="LT198" s="692"/>
      <c r="LU198" s="692"/>
      <c r="LV198" s="692"/>
      <c r="LW198" s="692"/>
      <c r="LX198" s="692"/>
      <c r="LY198" s="692"/>
      <c r="LZ198" s="692"/>
      <c r="MA198" s="692"/>
      <c r="MB198" s="692"/>
      <c r="MC198" s="692"/>
      <c r="MD198" s="692"/>
      <c r="ME198" s="692"/>
      <c r="MF198" s="692"/>
      <c r="MG198" s="692"/>
      <c r="MH198" s="692"/>
      <c r="MI198" s="692"/>
      <c r="MJ198" s="692"/>
      <c r="MK198" s="692"/>
      <c r="ML198" s="692"/>
      <c r="MM198" s="692"/>
      <c r="MN198" s="692"/>
      <c r="MO198" s="692"/>
      <c r="MP198" s="692"/>
      <c r="MQ198" s="692"/>
      <c r="MR198" s="692"/>
      <c r="MS198" s="692"/>
      <c r="MT198" s="692"/>
      <c r="MU198" s="692"/>
      <c r="MV198" s="692"/>
      <c r="MW198" s="692"/>
      <c r="MX198" s="692"/>
      <c r="MY198" s="692"/>
      <c r="MZ198" s="692"/>
      <c r="NA198" s="692"/>
      <c r="NB198" s="692"/>
      <c r="NC198" s="692"/>
      <c r="ND198" s="692"/>
      <c r="NE198" s="692"/>
      <c r="NF198" s="692"/>
      <c r="NG198" s="692"/>
      <c r="NH198" s="692"/>
      <c r="NI198" s="692"/>
      <c r="NJ198" s="692"/>
      <c r="NK198" s="692"/>
      <c r="NL198" s="692"/>
      <c r="NM198" s="692"/>
      <c r="NN198" s="692"/>
      <c r="NO198" s="692"/>
    </row>
    <row r="199" spans="1:379" ht="15.75" thickBot="1" x14ac:dyDescent="0.3">
      <c r="A199" s="111"/>
      <c r="B199" s="680"/>
      <c r="C199" s="62"/>
      <c r="D199" s="682"/>
      <c r="E199" s="149"/>
      <c r="F199" s="58"/>
      <c r="G199" s="692"/>
      <c r="H199" s="692"/>
      <c r="I199" s="692"/>
      <c r="J199" s="692"/>
      <c r="K199" s="692"/>
      <c r="L199" s="692"/>
      <c r="M199" s="692"/>
      <c r="N199" s="692"/>
      <c r="O199" s="692"/>
      <c r="P199" s="692"/>
      <c r="Q199" s="692"/>
      <c r="R199" s="692"/>
      <c r="S199" s="692"/>
      <c r="T199" s="692"/>
      <c r="U199" s="692"/>
      <c r="V199" s="692"/>
      <c r="W199" s="692"/>
      <c r="X199" s="692"/>
      <c r="Y199" s="692"/>
      <c r="Z199" s="692"/>
      <c r="AA199" s="692"/>
      <c r="AB199" s="692"/>
      <c r="AC199" s="692"/>
      <c r="AD199" s="692"/>
      <c r="AE199" s="692"/>
      <c r="AF199" s="692"/>
      <c r="AG199" s="692"/>
      <c r="AH199" s="692"/>
      <c r="AI199" s="692"/>
      <c r="AJ199" s="692"/>
      <c r="AK199" s="692"/>
      <c r="AL199" s="692"/>
      <c r="AM199" s="692"/>
      <c r="AN199" s="692"/>
      <c r="AO199" s="692"/>
      <c r="AP199" s="692"/>
      <c r="AQ199" s="692"/>
      <c r="AR199" s="692"/>
      <c r="AS199" s="692"/>
      <c r="AT199" s="692"/>
      <c r="AU199" s="692"/>
      <c r="AV199" s="692"/>
      <c r="AW199" s="692"/>
      <c r="AX199" s="692"/>
      <c r="AY199" s="692"/>
      <c r="AZ199" s="692"/>
      <c r="BA199" s="692"/>
      <c r="BB199" s="692"/>
      <c r="BC199" s="692"/>
      <c r="BD199" s="692"/>
      <c r="BE199" s="692"/>
      <c r="BF199" s="692"/>
      <c r="BG199" s="692"/>
      <c r="BH199" s="692"/>
      <c r="BI199" s="692"/>
      <c r="BJ199" s="692"/>
      <c r="BK199" s="692"/>
      <c r="BL199" s="692"/>
      <c r="BM199" s="692"/>
      <c r="BN199" s="692"/>
      <c r="BO199" s="692"/>
      <c r="BP199" s="692"/>
      <c r="BQ199" s="692"/>
      <c r="BR199" s="692"/>
      <c r="BS199" s="692"/>
      <c r="BT199" s="692"/>
      <c r="BU199" s="692"/>
      <c r="BV199" s="692"/>
      <c r="BW199" s="692"/>
      <c r="BX199" s="692"/>
      <c r="BY199" s="692"/>
      <c r="BZ199" s="692"/>
      <c r="CA199" s="692"/>
      <c r="CB199" s="692"/>
      <c r="CC199" s="692"/>
      <c r="CD199" s="692"/>
      <c r="CE199" s="692"/>
      <c r="CF199" s="692"/>
      <c r="CG199" s="692"/>
      <c r="CH199" s="692"/>
      <c r="CI199" s="692"/>
      <c r="CJ199" s="692"/>
      <c r="CK199" s="692"/>
      <c r="CL199" s="692"/>
      <c r="CM199" s="692"/>
      <c r="CN199" s="692"/>
      <c r="CO199" s="692"/>
      <c r="CP199" s="692"/>
      <c r="CQ199" s="692"/>
      <c r="CR199" s="692"/>
      <c r="CS199" s="692"/>
      <c r="CT199" s="692"/>
      <c r="CU199" s="692"/>
      <c r="CV199" s="692"/>
      <c r="CW199" s="692"/>
      <c r="CX199" s="692"/>
      <c r="CY199" s="692"/>
      <c r="CZ199" s="692"/>
      <c r="DA199" s="692"/>
      <c r="DB199" s="692"/>
      <c r="DC199" s="692"/>
      <c r="DD199" s="692"/>
      <c r="DE199" s="692"/>
      <c r="DF199" s="692"/>
      <c r="DG199" s="692"/>
      <c r="DH199" s="692"/>
      <c r="DI199" s="692"/>
      <c r="DJ199" s="692"/>
      <c r="DK199" s="692"/>
      <c r="DL199" s="692"/>
      <c r="DM199" s="692"/>
      <c r="DN199" s="692"/>
      <c r="DO199" s="692"/>
      <c r="DP199" s="692"/>
      <c r="DQ199" s="692"/>
      <c r="DR199" s="692"/>
      <c r="DS199" s="692"/>
      <c r="DT199" s="692"/>
      <c r="DU199" s="692"/>
      <c r="DV199" s="692"/>
      <c r="DW199" s="692"/>
      <c r="DX199" s="692"/>
      <c r="DY199" s="692"/>
      <c r="DZ199" s="692"/>
      <c r="EA199" s="692"/>
      <c r="EB199" s="692"/>
      <c r="EC199" s="692"/>
      <c r="ED199" s="692"/>
      <c r="EE199" s="692"/>
      <c r="EF199" s="692"/>
      <c r="EG199" s="692"/>
      <c r="EH199" s="692"/>
      <c r="EI199" s="692"/>
      <c r="EJ199" s="692"/>
      <c r="EK199" s="692"/>
      <c r="EL199" s="692"/>
      <c r="EM199" s="692"/>
      <c r="EN199" s="692"/>
      <c r="EO199" s="692"/>
      <c r="EP199" s="692"/>
      <c r="EQ199" s="692"/>
      <c r="ER199" s="692"/>
      <c r="ES199" s="692"/>
      <c r="ET199" s="692"/>
      <c r="EU199" s="692"/>
      <c r="EV199" s="692"/>
      <c r="EW199" s="692"/>
      <c r="EX199" s="692"/>
      <c r="EY199" s="692"/>
      <c r="EZ199" s="692"/>
      <c r="FA199" s="692"/>
      <c r="FB199" s="692"/>
      <c r="FC199" s="692"/>
      <c r="FD199" s="692"/>
      <c r="FE199" s="692"/>
      <c r="FF199" s="692"/>
      <c r="FG199" s="692"/>
      <c r="FH199" s="692"/>
      <c r="FI199" s="692"/>
      <c r="FJ199" s="692"/>
      <c r="FK199" s="692"/>
      <c r="FL199" s="692"/>
      <c r="FM199" s="692"/>
      <c r="FN199" s="692"/>
      <c r="FO199" s="692"/>
      <c r="FP199" s="692"/>
      <c r="FQ199" s="692"/>
      <c r="FR199" s="692"/>
      <c r="FS199" s="692"/>
      <c r="FT199" s="692"/>
      <c r="FU199" s="692"/>
      <c r="FV199" s="692"/>
      <c r="FW199" s="692"/>
      <c r="FX199" s="692"/>
      <c r="FY199" s="692"/>
      <c r="FZ199" s="692"/>
      <c r="GA199" s="692"/>
      <c r="GB199" s="692"/>
      <c r="GC199" s="692"/>
      <c r="GD199" s="692"/>
      <c r="GE199" s="692"/>
      <c r="GF199" s="692"/>
      <c r="GG199" s="692"/>
      <c r="GH199" s="692"/>
      <c r="GI199" s="692"/>
      <c r="GJ199" s="692"/>
      <c r="GK199" s="692"/>
      <c r="GL199" s="692"/>
      <c r="GM199" s="692"/>
      <c r="GN199" s="692"/>
      <c r="GO199" s="692"/>
      <c r="GP199" s="692"/>
      <c r="GQ199" s="692"/>
      <c r="GR199" s="692"/>
      <c r="GS199" s="692"/>
      <c r="GT199" s="692"/>
      <c r="GU199" s="692"/>
      <c r="GV199" s="692"/>
      <c r="GW199" s="692"/>
      <c r="GX199" s="692"/>
      <c r="GY199" s="692"/>
      <c r="GZ199" s="692"/>
      <c r="HA199" s="692"/>
      <c r="HB199" s="692"/>
      <c r="HC199" s="692"/>
      <c r="HD199" s="692"/>
      <c r="HE199" s="692"/>
      <c r="HF199" s="692"/>
      <c r="HG199" s="692"/>
      <c r="HH199" s="692"/>
      <c r="HI199" s="692"/>
      <c r="HJ199" s="692"/>
      <c r="HK199" s="692"/>
      <c r="HL199" s="692"/>
      <c r="HM199" s="692"/>
      <c r="HN199" s="692"/>
      <c r="HO199" s="692"/>
      <c r="HP199" s="692"/>
      <c r="HQ199" s="692"/>
      <c r="HR199" s="692"/>
      <c r="HS199" s="692"/>
      <c r="HT199" s="692"/>
      <c r="HU199" s="692"/>
      <c r="HV199" s="692"/>
      <c r="HW199" s="692"/>
      <c r="HX199" s="692"/>
      <c r="HY199" s="692"/>
      <c r="HZ199" s="692"/>
      <c r="IA199" s="692"/>
      <c r="IB199" s="692"/>
      <c r="IC199" s="692"/>
      <c r="ID199" s="692"/>
      <c r="IE199" s="692"/>
      <c r="IF199" s="692"/>
      <c r="IG199" s="692"/>
      <c r="IH199" s="692"/>
      <c r="II199" s="692"/>
      <c r="IJ199" s="692"/>
      <c r="IK199" s="692"/>
      <c r="IL199" s="692"/>
      <c r="IM199" s="692"/>
      <c r="IN199" s="692"/>
      <c r="IO199" s="692"/>
      <c r="IP199" s="692"/>
      <c r="IQ199" s="692"/>
      <c r="IR199" s="692"/>
      <c r="IS199" s="692"/>
      <c r="IT199" s="692"/>
      <c r="IU199" s="692"/>
      <c r="IV199" s="692"/>
      <c r="IW199" s="692"/>
      <c r="IX199" s="692"/>
      <c r="IY199" s="692"/>
      <c r="IZ199" s="692"/>
      <c r="JA199" s="692"/>
      <c r="JB199" s="692"/>
      <c r="JC199" s="692"/>
      <c r="JD199" s="692"/>
      <c r="JE199" s="692"/>
      <c r="JF199" s="692"/>
      <c r="JG199" s="692"/>
      <c r="JH199" s="692"/>
      <c r="JI199" s="692"/>
      <c r="JJ199" s="692"/>
      <c r="JK199" s="692"/>
      <c r="JL199" s="692"/>
      <c r="JM199" s="692"/>
      <c r="JN199" s="692"/>
      <c r="JO199" s="692"/>
      <c r="JP199" s="692"/>
      <c r="JQ199" s="692"/>
      <c r="JR199" s="692"/>
      <c r="JS199" s="692"/>
      <c r="JT199" s="692"/>
      <c r="JU199" s="692"/>
      <c r="JV199" s="692"/>
      <c r="JW199" s="692"/>
      <c r="JX199" s="692"/>
      <c r="JY199" s="692"/>
      <c r="JZ199" s="692"/>
      <c r="KA199" s="692"/>
      <c r="KB199" s="692"/>
      <c r="KC199" s="692"/>
      <c r="KD199" s="692"/>
      <c r="KE199" s="692"/>
      <c r="KF199" s="692"/>
      <c r="KG199" s="692"/>
      <c r="KH199" s="692"/>
      <c r="KI199" s="692"/>
      <c r="KJ199" s="692"/>
      <c r="KK199" s="692"/>
      <c r="KL199" s="692"/>
      <c r="KM199" s="692"/>
      <c r="KN199" s="692"/>
      <c r="KO199" s="692"/>
      <c r="KP199" s="692"/>
      <c r="KQ199" s="692"/>
      <c r="KR199" s="692"/>
      <c r="KS199" s="692"/>
      <c r="KT199" s="692"/>
      <c r="KU199" s="692"/>
      <c r="KV199" s="692"/>
      <c r="KW199" s="692"/>
      <c r="KX199" s="692"/>
      <c r="KY199" s="692"/>
      <c r="KZ199" s="692"/>
      <c r="LA199" s="692"/>
      <c r="LB199" s="692"/>
      <c r="LC199" s="692"/>
      <c r="LD199" s="692"/>
      <c r="LE199" s="692"/>
      <c r="LF199" s="692"/>
      <c r="LG199" s="692"/>
      <c r="LH199" s="692"/>
      <c r="LI199" s="692"/>
      <c r="LJ199" s="692"/>
      <c r="LK199" s="692"/>
      <c r="LL199" s="692"/>
      <c r="LM199" s="692"/>
      <c r="LN199" s="692"/>
      <c r="LO199" s="692"/>
      <c r="LP199" s="692"/>
      <c r="LQ199" s="692"/>
      <c r="LR199" s="692"/>
      <c r="LS199" s="692"/>
      <c r="LT199" s="692"/>
      <c r="LU199" s="692"/>
      <c r="LV199" s="692"/>
      <c r="LW199" s="692"/>
      <c r="LX199" s="692"/>
      <c r="LY199" s="692"/>
      <c r="LZ199" s="692"/>
      <c r="MA199" s="692"/>
      <c r="MB199" s="692"/>
      <c r="MC199" s="692"/>
      <c r="MD199" s="692"/>
      <c r="ME199" s="692"/>
      <c r="MF199" s="692"/>
      <c r="MG199" s="692"/>
      <c r="MH199" s="692"/>
      <c r="MI199" s="692"/>
      <c r="MJ199" s="692"/>
      <c r="MK199" s="692"/>
      <c r="ML199" s="692"/>
      <c r="MM199" s="692"/>
      <c r="MN199" s="692"/>
      <c r="MO199" s="692"/>
      <c r="MP199" s="692"/>
      <c r="MQ199" s="692"/>
      <c r="MR199" s="692"/>
      <c r="MS199" s="692"/>
      <c r="MT199" s="692"/>
      <c r="MU199" s="692"/>
      <c r="MV199" s="692"/>
      <c r="MW199" s="692"/>
      <c r="MX199" s="692"/>
      <c r="MY199" s="692"/>
      <c r="MZ199" s="692"/>
      <c r="NA199" s="692"/>
      <c r="NB199" s="692"/>
      <c r="NC199" s="692"/>
      <c r="ND199" s="692"/>
      <c r="NE199" s="692"/>
      <c r="NF199" s="692"/>
      <c r="NG199" s="692"/>
      <c r="NH199" s="692"/>
      <c r="NI199" s="692"/>
      <c r="NJ199" s="692"/>
      <c r="NK199" s="692"/>
      <c r="NL199" s="692"/>
      <c r="NM199" s="692"/>
      <c r="NN199" s="692"/>
      <c r="NO199" s="692"/>
    </row>
    <row r="200" spans="1:379" ht="15.75" thickBot="1" x14ac:dyDescent="0.3">
      <c r="A200" s="132" t="s">
        <v>1671</v>
      </c>
      <c r="B200" s="132" t="s">
        <v>1654</v>
      </c>
      <c r="C200" s="113" t="e">
        <f>C196/C188</f>
        <v>#DIV/0!</v>
      </c>
      <c r="D200" s="132" t="s">
        <v>1672</v>
      </c>
      <c r="E200" s="264" t="str">
        <f>IF('Input Data'!E17=0,"",IF(C200&lt;24,"COMPLIANT","NOT COMPLIANT"))</f>
        <v/>
      </c>
      <c r="F200" s="294" t="s">
        <v>1653</v>
      </c>
      <c r="G200" s="692"/>
      <c r="H200" s="692"/>
      <c r="I200" s="692"/>
      <c r="J200" s="692"/>
      <c r="K200" s="692"/>
      <c r="L200" s="692"/>
      <c r="M200" s="692"/>
      <c r="N200" s="692"/>
      <c r="O200" s="692"/>
      <c r="P200" s="692"/>
      <c r="Q200" s="692"/>
      <c r="R200" s="692"/>
      <c r="S200" s="692"/>
      <c r="T200" s="692"/>
      <c r="U200" s="692"/>
      <c r="V200" s="692"/>
      <c r="W200" s="692"/>
      <c r="X200" s="692"/>
      <c r="Y200" s="692"/>
      <c r="Z200" s="692"/>
      <c r="AA200" s="692"/>
      <c r="AB200" s="692"/>
      <c r="AC200" s="692"/>
      <c r="AD200" s="692"/>
      <c r="AE200" s="692"/>
      <c r="AF200" s="692"/>
      <c r="AG200" s="692"/>
      <c r="AH200" s="692"/>
      <c r="AI200" s="692"/>
      <c r="AJ200" s="692"/>
      <c r="AK200" s="692"/>
      <c r="AL200" s="692"/>
      <c r="AM200" s="692"/>
      <c r="AN200" s="692"/>
      <c r="AO200" s="692"/>
      <c r="AP200" s="692"/>
      <c r="AQ200" s="692"/>
      <c r="AR200" s="692"/>
      <c r="AS200" s="692"/>
      <c r="AT200" s="692"/>
      <c r="AU200" s="692"/>
      <c r="AV200" s="692"/>
      <c r="AW200" s="692"/>
      <c r="AX200" s="692"/>
      <c r="AY200" s="692"/>
      <c r="AZ200" s="692"/>
      <c r="BA200" s="692"/>
      <c r="BB200" s="692"/>
      <c r="BC200" s="692"/>
      <c r="BD200" s="692"/>
      <c r="BE200" s="692"/>
      <c r="BF200" s="692"/>
      <c r="BG200" s="692"/>
      <c r="BH200" s="692"/>
      <c r="BI200" s="692"/>
      <c r="BJ200" s="692"/>
      <c r="BK200" s="692"/>
      <c r="BL200" s="692"/>
      <c r="BM200" s="692"/>
      <c r="BN200" s="692"/>
      <c r="BO200" s="692"/>
      <c r="BP200" s="692"/>
      <c r="BQ200" s="692"/>
      <c r="BR200" s="692"/>
      <c r="BS200" s="692"/>
      <c r="BT200" s="692"/>
      <c r="BU200" s="692"/>
      <c r="BV200" s="692"/>
      <c r="BW200" s="692"/>
      <c r="BX200" s="692"/>
      <c r="BY200" s="692"/>
      <c r="BZ200" s="692"/>
      <c r="CA200" s="692"/>
      <c r="CB200" s="692"/>
      <c r="CC200" s="692"/>
      <c r="CD200" s="692"/>
      <c r="CE200" s="692"/>
      <c r="CF200" s="692"/>
      <c r="CG200" s="692"/>
      <c r="CH200" s="692"/>
      <c r="CI200" s="692"/>
      <c r="CJ200" s="692"/>
      <c r="CK200" s="692"/>
      <c r="CL200" s="692"/>
      <c r="CM200" s="692"/>
      <c r="CN200" s="692"/>
      <c r="CO200" s="692"/>
      <c r="CP200" s="692"/>
      <c r="CQ200" s="692"/>
      <c r="CR200" s="692"/>
      <c r="CS200" s="692"/>
      <c r="CT200" s="692"/>
      <c r="CU200" s="692"/>
      <c r="CV200" s="692"/>
      <c r="CW200" s="692"/>
      <c r="CX200" s="692"/>
      <c r="CY200" s="692"/>
      <c r="CZ200" s="692"/>
      <c r="DA200" s="692"/>
      <c r="DB200" s="692"/>
      <c r="DC200" s="692"/>
      <c r="DD200" s="692"/>
      <c r="DE200" s="692"/>
      <c r="DF200" s="692"/>
      <c r="DG200" s="692"/>
      <c r="DH200" s="692"/>
      <c r="DI200" s="692"/>
      <c r="DJ200" s="692"/>
      <c r="DK200" s="692"/>
      <c r="DL200" s="692"/>
      <c r="DM200" s="692"/>
      <c r="DN200" s="692"/>
      <c r="DO200" s="692"/>
      <c r="DP200" s="692"/>
      <c r="DQ200" s="692"/>
      <c r="DR200" s="692"/>
      <c r="DS200" s="692"/>
      <c r="DT200" s="692"/>
      <c r="DU200" s="692"/>
      <c r="DV200" s="692"/>
      <c r="DW200" s="692"/>
      <c r="DX200" s="692"/>
      <c r="DY200" s="692"/>
      <c r="DZ200" s="692"/>
      <c r="EA200" s="692"/>
      <c r="EB200" s="692"/>
      <c r="EC200" s="692"/>
      <c r="ED200" s="692"/>
      <c r="EE200" s="692"/>
      <c r="EF200" s="692"/>
      <c r="EG200" s="692"/>
      <c r="EH200" s="692"/>
      <c r="EI200" s="692"/>
      <c r="EJ200" s="692"/>
      <c r="EK200" s="692"/>
      <c r="EL200" s="692"/>
      <c r="EM200" s="692"/>
      <c r="EN200" s="692"/>
      <c r="EO200" s="692"/>
      <c r="EP200" s="692"/>
      <c r="EQ200" s="692"/>
      <c r="ER200" s="692"/>
      <c r="ES200" s="692"/>
      <c r="ET200" s="692"/>
      <c r="EU200" s="692"/>
      <c r="EV200" s="692"/>
      <c r="EW200" s="692"/>
      <c r="EX200" s="692"/>
      <c r="EY200" s="692"/>
      <c r="EZ200" s="692"/>
      <c r="FA200" s="692"/>
      <c r="FB200" s="692"/>
      <c r="FC200" s="692"/>
      <c r="FD200" s="692"/>
      <c r="FE200" s="692"/>
      <c r="FF200" s="692"/>
      <c r="FG200" s="692"/>
      <c r="FH200" s="692"/>
      <c r="FI200" s="692"/>
      <c r="FJ200" s="692"/>
      <c r="FK200" s="692"/>
      <c r="FL200" s="692"/>
      <c r="FM200" s="692"/>
      <c r="FN200" s="692"/>
      <c r="FO200" s="692"/>
      <c r="FP200" s="692"/>
      <c r="FQ200" s="692"/>
      <c r="FR200" s="692"/>
      <c r="FS200" s="692"/>
      <c r="FT200" s="692"/>
      <c r="FU200" s="692"/>
      <c r="FV200" s="692"/>
      <c r="FW200" s="692"/>
      <c r="FX200" s="692"/>
      <c r="FY200" s="692"/>
      <c r="FZ200" s="692"/>
      <c r="GA200" s="692"/>
      <c r="GB200" s="692"/>
      <c r="GC200" s="692"/>
      <c r="GD200" s="692"/>
      <c r="GE200" s="692"/>
      <c r="GF200" s="692"/>
      <c r="GG200" s="692"/>
      <c r="GH200" s="692"/>
      <c r="GI200" s="692"/>
      <c r="GJ200" s="692"/>
      <c r="GK200" s="692"/>
      <c r="GL200" s="692"/>
      <c r="GM200" s="692"/>
      <c r="GN200" s="692"/>
      <c r="GO200" s="692"/>
      <c r="GP200" s="692"/>
      <c r="GQ200" s="692"/>
      <c r="GR200" s="692"/>
      <c r="GS200" s="692"/>
      <c r="GT200" s="692"/>
      <c r="GU200" s="692"/>
      <c r="GV200" s="692"/>
      <c r="GW200" s="692"/>
      <c r="GX200" s="692"/>
      <c r="GY200" s="692"/>
      <c r="GZ200" s="692"/>
      <c r="HA200" s="692"/>
      <c r="HB200" s="692"/>
      <c r="HC200" s="692"/>
      <c r="HD200" s="692"/>
      <c r="HE200" s="692"/>
      <c r="HF200" s="692"/>
      <c r="HG200" s="692"/>
      <c r="HH200" s="692"/>
      <c r="HI200" s="692"/>
      <c r="HJ200" s="692"/>
      <c r="HK200" s="692"/>
      <c r="HL200" s="692"/>
      <c r="HM200" s="692"/>
      <c r="HN200" s="692"/>
      <c r="HO200" s="692"/>
      <c r="HP200" s="692"/>
      <c r="HQ200" s="692"/>
      <c r="HR200" s="692"/>
      <c r="HS200" s="692"/>
      <c r="HT200" s="692"/>
      <c r="HU200" s="692"/>
      <c r="HV200" s="692"/>
      <c r="HW200" s="692"/>
      <c r="HX200" s="692"/>
      <c r="HY200" s="692"/>
      <c r="HZ200" s="692"/>
      <c r="IA200" s="692"/>
      <c r="IB200" s="692"/>
      <c r="IC200" s="692"/>
      <c r="ID200" s="692"/>
      <c r="IE200" s="692"/>
      <c r="IF200" s="692"/>
      <c r="IG200" s="692"/>
      <c r="IH200" s="692"/>
      <c r="II200" s="692"/>
      <c r="IJ200" s="692"/>
      <c r="IK200" s="692"/>
      <c r="IL200" s="692"/>
      <c r="IM200" s="692"/>
      <c r="IN200" s="692"/>
      <c r="IO200" s="692"/>
      <c r="IP200" s="692"/>
      <c r="IQ200" s="692"/>
      <c r="IR200" s="692"/>
      <c r="IS200" s="692"/>
      <c r="IT200" s="692"/>
      <c r="IU200" s="692"/>
      <c r="IV200" s="692"/>
      <c r="IW200" s="692"/>
      <c r="IX200" s="692"/>
      <c r="IY200" s="692"/>
      <c r="IZ200" s="692"/>
      <c r="JA200" s="692"/>
      <c r="JB200" s="692"/>
      <c r="JC200" s="692"/>
      <c r="JD200" s="692"/>
      <c r="JE200" s="692"/>
      <c r="JF200" s="692"/>
      <c r="JG200" s="692"/>
      <c r="JH200" s="692"/>
      <c r="JI200" s="692"/>
      <c r="JJ200" s="692"/>
      <c r="JK200" s="692"/>
      <c r="JL200" s="692"/>
      <c r="JM200" s="692"/>
      <c r="JN200" s="692"/>
      <c r="JO200" s="692"/>
      <c r="JP200" s="692"/>
      <c r="JQ200" s="692"/>
      <c r="JR200" s="692"/>
      <c r="JS200" s="692"/>
      <c r="JT200" s="692"/>
      <c r="JU200" s="692"/>
      <c r="JV200" s="692"/>
      <c r="JW200" s="692"/>
      <c r="JX200" s="692"/>
      <c r="JY200" s="692"/>
      <c r="JZ200" s="692"/>
      <c r="KA200" s="692"/>
      <c r="KB200" s="692"/>
      <c r="KC200" s="692"/>
      <c r="KD200" s="692"/>
      <c r="KE200" s="692"/>
      <c r="KF200" s="692"/>
      <c r="KG200" s="692"/>
      <c r="KH200" s="692"/>
      <c r="KI200" s="692"/>
      <c r="KJ200" s="692"/>
      <c r="KK200" s="692"/>
      <c r="KL200" s="692"/>
      <c r="KM200" s="692"/>
      <c r="KN200" s="692"/>
      <c r="KO200" s="692"/>
      <c r="KP200" s="692"/>
      <c r="KQ200" s="692"/>
      <c r="KR200" s="692"/>
      <c r="KS200" s="692"/>
      <c r="KT200" s="692"/>
      <c r="KU200" s="692"/>
      <c r="KV200" s="692"/>
      <c r="KW200" s="692"/>
      <c r="KX200" s="692"/>
      <c r="KY200" s="692"/>
      <c r="KZ200" s="692"/>
      <c r="LA200" s="692"/>
      <c r="LB200" s="692"/>
      <c r="LC200" s="692"/>
      <c r="LD200" s="692"/>
      <c r="LE200" s="692"/>
      <c r="LF200" s="692"/>
      <c r="LG200" s="692"/>
      <c r="LH200" s="692"/>
      <c r="LI200" s="692"/>
      <c r="LJ200" s="692"/>
      <c r="LK200" s="692"/>
      <c r="LL200" s="692"/>
      <c r="LM200" s="692"/>
      <c r="LN200" s="692"/>
      <c r="LO200" s="692"/>
      <c r="LP200" s="692"/>
      <c r="LQ200" s="692"/>
      <c r="LR200" s="692"/>
      <c r="LS200" s="692"/>
      <c r="LT200" s="692"/>
      <c r="LU200" s="692"/>
      <c r="LV200" s="692"/>
      <c r="LW200" s="692"/>
      <c r="LX200" s="692"/>
      <c r="LY200" s="692"/>
      <c r="LZ200" s="692"/>
      <c r="MA200" s="692"/>
      <c r="MB200" s="692"/>
      <c r="MC200" s="692"/>
      <c r="MD200" s="692"/>
      <c r="ME200" s="692"/>
      <c r="MF200" s="692"/>
      <c r="MG200" s="692"/>
      <c r="MH200" s="692"/>
      <c r="MI200" s="692"/>
      <c r="MJ200" s="692"/>
      <c r="MK200" s="692"/>
      <c r="ML200" s="692"/>
      <c r="MM200" s="692"/>
      <c r="MN200" s="692"/>
      <c r="MO200" s="692"/>
      <c r="MP200" s="692"/>
      <c r="MQ200" s="692"/>
      <c r="MR200" s="692"/>
      <c r="MS200" s="692"/>
      <c r="MT200" s="692"/>
      <c r="MU200" s="692"/>
      <c r="MV200" s="692"/>
      <c r="MW200" s="692"/>
      <c r="MX200" s="692"/>
      <c r="MY200" s="692"/>
      <c r="MZ200" s="692"/>
      <c r="NA200" s="692"/>
      <c r="NB200" s="692"/>
      <c r="NC200" s="692"/>
      <c r="ND200" s="692"/>
      <c r="NE200" s="692"/>
      <c r="NF200" s="692"/>
      <c r="NG200" s="692"/>
      <c r="NH200" s="692"/>
      <c r="NI200" s="692"/>
      <c r="NJ200" s="692"/>
      <c r="NK200" s="692"/>
      <c r="NL200" s="692"/>
      <c r="NM200" s="692"/>
      <c r="NN200" s="692"/>
      <c r="NO200" s="692"/>
    </row>
    <row r="201" spans="1:379" ht="15.75" thickBot="1" x14ac:dyDescent="0.3">
      <c r="A201" s="748"/>
      <c r="B201" s="748"/>
      <c r="C201" s="749"/>
      <c r="D201" s="748"/>
      <c r="E201" s="750"/>
      <c r="F201" s="751"/>
      <c r="G201" s="692"/>
      <c r="H201" s="692"/>
      <c r="I201" s="692"/>
      <c r="J201" s="692"/>
      <c r="K201" s="692"/>
      <c r="L201" s="692"/>
      <c r="M201" s="692"/>
      <c r="N201" s="692"/>
      <c r="O201" s="692"/>
      <c r="P201" s="692"/>
      <c r="Q201" s="692"/>
      <c r="R201" s="692"/>
      <c r="S201" s="692"/>
      <c r="T201" s="692"/>
      <c r="U201" s="692"/>
      <c r="V201" s="692"/>
      <c r="W201" s="692"/>
      <c r="X201" s="692"/>
      <c r="Y201" s="692"/>
      <c r="Z201" s="692"/>
      <c r="AA201" s="692"/>
      <c r="AB201" s="692"/>
      <c r="AC201" s="692"/>
      <c r="AD201" s="692"/>
      <c r="AE201" s="692"/>
      <c r="AF201" s="692"/>
      <c r="AG201" s="692"/>
      <c r="AH201" s="692"/>
      <c r="AI201" s="692"/>
      <c r="AJ201" s="692"/>
      <c r="AK201" s="692"/>
      <c r="AL201" s="692"/>
      <c r="AM201" s="692"/>
      <c r="AN201" s="692"/>
      <c r="AO201" s="692"/>
      <c r="AP201" s="692"/>
      <c r="AQ201" s="692"/>
      <c r="AR201" s="692"/>
      <c r="AS201" s="692"/>
      <c r="AT201" s="692"/>
      <c r="AU201" s="692"/>
      <c r="AV201" s="692"/>
      <c r="AW201" s="692"/>
      <c r="AX201" s="692"/>
      <c r="AY201" s="692"/>
      <c r="AZ201" s="692"/>
      <c r="BA201" s="692"/>
      <c r="BB201" s="692"/>
      <c r="BC201" s="692"/>
      <c r="BD201" s="692"/>
      <c r="BE201" s="692"/>
      <c r="BF201" s="692"/>
      <c r="BG201" s="692"/>
      <c r="BH201" s="692"/>
      <c r="BI201" s="692"/>
      <c r="BJ201" s="692"/>
      <c r="BK201" s="692"/>
      <c r="BL201" s="692"/>
      <c r="BM201" s="692"/>
      <c r="BN201" s="692"/>
      <c r="BO201" s="692"/>
      <c r="BP201" s="692"/>
      <c r="BQ201" s="692"/>
      <c r="BR201" s="692"/>
      <c r="BS201" s="692"/>
      <c r="BT201" s="692"/>
      <c r="BU201" s="692"/>
      <c r="BV201" s="692"/>
      <c r="BW201" s="692"/>
      <c r="BX201" s="692"/>
      <c r="BY201" s="692"/>
      <c r="BZ201" s="692"/>
      <c r="CA201" s="692"/>
      <c r="CB201" s="692"/>
      <c r="CC201" s="692"/>
      <c r="CD201" s="692"/>
      <c r="CE201" s="692"/>
      <c r="CF201" s="692"/>
      <c r="CG201" s="692"/>
      <c r="CH201" s="692"/>
      <c r="CI201" s="692"/>
      <c r="CJ201" s="692"/>
      <c r="CK201" s="692"/>
      <c r="CL201" s="692"/>
      <c r="CM201" s="692"/>
      <c r="CN201" s="692"/>
      <c r="CO201" s="692"/>
      <c r="CP201" s="692"/>
      <c r="CQ201" s="692"/>
      <c r="CR201" s="692"/>
      <c r="CS201" s="692"/>
      <c r="CT201" s="692"/>
      <c r="CU201" s="692"/>
      <c r="CV201" s="692"/>
      <c r="CW201" s="692"/>
      <c r="CX201" s="692"/>
      <c r="CY201" s="692"/>
      <c r="CZ201" s="692"/>
      <c r="DA201" s="692"/>
      <c r="DB201" s="692"/>
      <c r="DC201" s="692"/>
      <c r="DD201" s="692"/>
      <c r="DE201" s="692"/>
      <c r="DF201" s="692"/>
      <c r="DG201" s="692"/>
      <c r="DH201" s="692"/>
      <c r="DI201" s="692"/>
      <c r="DJ201" s="692"/>
      <c r="DK201" s="692"/>
      <c r="DL201" s="692"/>
      <c r="DM201" s="692"/>
      <c r="DN201" s="692"/>
      <c r="DO201" s="692"/>
      <c r="DP201" s="692"/>
      <c r="DQ201" s="692"/>
      <c r="DR201" s="692"/>
      <c r="DS201" s="692"/>
      <c r="DT201" s="692"/>
      <c r="DU201" s="692"/>
      <c r="DV201" s="692"/>
      <c r="DW201" s="692"/>
      <c r="DX201" s="692"/>
      <c r="DY201" s="692"/>
      <c r="DZ201" s="692"/>
      <c r="EA201" s="692"/>
      <c r="EB201" s="692"/>
      <c r="EC201" s="692"/>
      <c r="ED201" s="692"/>
      <c r="EE201" s="692"/>
      <c r="EF201" s="692"/>
      <c r="EG201" s="692"/>
      <c r="EH201" s="692"/>
      <c r="EI201" s="692"/>
      <c r="EJ201" s="692"/>
      <c r="EK201" s="692"/>
      <c r="EL201" s="692"/>
      <c r="EM201" s="692"/>
      <c r="EN201" s="692"/>
      <c r="EO201" s="692"/>
      <c r="EP201" s="692"/>
      <c r="EQ201" s="692"/>
      <c r="ER201" s="692"/>
      <c r="ES201" s="692"/>
      <c r="ET201" s="692"/>
      <c r="EU201" s="692"/>
      <c r="EV201" s="692"/>
      <c r="EW201" s="692"/>
      <c r="EX201" s="692"/>
      <c r="EY201" s="692"/>
      <c r="EZ201" s="692"/>
      <c r="FA201" s="692"/>
      <c r="FB201" s="692"/>
      <c r="FC201" s="692"/>
      <c r="FD201" s="692"/>
      <c r="FE201" s="692"/>
      <c r="FF201" s="692"/>
      <c r="FG201" s="692"/>
      <c r="FH201" s="692"/>
      <c r="FI201" s="692"/>
      <c r="FJ201" s="692"/>
      <c r="FK201" s="692"/>
      <c r="FL201" s="692"/>
      <c r="FM201" s="692"/>
      <c r="FN201" s="692"/>
      <c r="FO201" s="692"/>
      <c r="FP201" s="692"/>
      <c r="FQ201" s="692"/>
      <c r="FR201" s="692"/>
      <c r="FS201" s="692"/>
      <c r="FT201" s="692"/>
      <c r="FU201" s="692"/>
      <c r="FV201" s="692"/>
      <c r="FW201" s="692"/>
      <c r="FX201" s="692"/>
      <c r="FY201" s="692"/>
      <c r="FZ201" s="692"/>
      <c r="GA201" s="692"/>
      <c r="GB201" s="692"/>
      <c r="GC201" s="692"/>
      <c r="GD201" s="692"/>
      <c r="GE201" s="692"/>
      <c r="GF201" s="692"/>
      <c r="GG201" s="692"/>
      <c r="GH201" s="692"/>
      <c r="GI201" s="692"/>
      <c r="GJ201" s="692"/>
      <c r="GK201" s="692"/>
      <c r="GL201" s="692"/>
      <c r="GM201" s="692"/>
      <c r="GN201" s="692"/>
      <c r="GO201" s="692"/>
      <c r="GP201" s="692"/>
      <c r="GQ201" s="692"/>
      <c r="GR201" s="692"/>
      <c r="GS201" s="692"/>
      <c r="GT201" s="692"/>
      <c r="GU201" s="692"/>
      <c r="GV201" s="692"/>
      <c r="GW201" s="692"/>
      <c r="GX201" s="692"/>
      <c r="GY201" s="692"/>
      <c r="GZ201" s="692"/>
      <c r="HA201" s="692"/>
      <c r="HB201" s="692"/>
      <c r="HC201" s="692"/>
      <c r="HD201" s="692"/>
      <c r="HE201" s="692"/>
      <c r="HF201" s="692"/>
      <c r="HG201" s="692"/>
      <c r="HH201" s="692"/>
      <c r="HI201" s="692"/>
      <c r="HJ201" s="692"/>
      <c r="HK201" s="692"/>
      <c r="HL201" s="692"/>
      <c r="HM201" s="692"/>
      <c r="HN201" s="692"/>
      <c r="HO201" s="692"/>
      <c r="HP201" s="692"/>
      <c r="HQ201" s="692"/>
      <c r="HR201" s="692"/>
      <c r="HS201" s="692"/>
      <c r="HT201" s="692"/>
      <c r="HU201" s="692"/>
      <c r="HV201" s="692"/>
      <c r="HW201" s="692"/>
      <c r="HX201" s="692"/>
      <c r="HY201" s="692"/>
      <c r="HZ201" s="692"/>
      <c r="IA201" s="692"/>
      <c r="IB201" s="692"/>
      <c r="IC201" s="692"/>
      <c r="ID201" s="692"/>
      <c r="IE201" s="692"/>
      <c r="IF201" s="692"/>
      <c r="IG201" s="692"/>
      <c r="IH201" s="692"/>
      <c r="II201" s="692"/>
      <c r="IJ201" s="692"/>
      <c r="IK201" s="692"/>
      <c r="IL201" s="692"/>
      <c r="IM201" s="692"/>
      <c r="IN201" s="692"/>
      <c r="IO201" s="692"/>
      <c r="IP201" s="692"/>
      <c r="IQ201" s="692"/>
      <c r="IR201" s="692"/>
      <c r="IS201" s="692"/>
      <c r="IT201" s="692"/>
      <c r="IU201" s="692"/>
      <c r="IV201" s="692"/>
      <c r="IW201" s="692"/>
      <c r="IX201" s="692"/>
      <c r="IY201" s="692"/>
      <c r="IZ201" s="692"/>
      <c r="JA201" s="692"/>
      <c r="JB201" s="692"/>
      <c r="JC201" s="692"/>
      <c r="JD201" s="692"/>
      <c r="JE201" s="692"/>
      <c r="JF201" s="692"/>
      <c r="JG201" s="692"/>
      <c r="JH201" s="692"/>
      <c r="JI201" s="692"/>
      <c r="JJ201" s="692"/>
      <c r="JK201" s="692"/>
      <c r="JL201" s="692"/>
      <c r="JM201" s="692"/>
      <c r="JN201" s="692"/>
      <c r="JO201" s="692"/>
      <c r="JP201" s="692"/>
      <c r="JQ201" s="692"/>
      <c r="JR201" s="692"/>
      <c r="JS201" s="692"/>
      <c r="JT201" s="692"/>
      <c r="JU201" s="692"/>
      <c r="JV201" s="692"/>
      <c r="JW201" s="692"/>
      <c r="JX201" s="692"/>
      <c r="JY201" s="692"/>
      <c r="JZ201" s="692"/>
      <c r="KA201" s="692"/>
      <c r="KB201" s="692"/>
      <c r="KC201" s="692"/>
      <c r="KD201" s="692"/>
      <c r="KE201" s="692"/>
      <c r="KF201" s="692"/>
      <c r="KG201" s="692"/>
      <c r="KH201" s="692"/>
      <c r="KI201" s="692"/>
      <c r="KJ201" s="692"/>
      <c r="KK201" s="692"/>
      <c r="KL201" s="692"/>
      <c r="KM201" s="692"/>
      <c r="KN201" s="692"/>
      <c r="KO201" s="692"/>
      <c r="KP201" s="692"/>
      <c r="KQ201" s="692"/>
      <c r="KR201" s="692"/>
      <c r="KS201" s="692"/>
      <c r="KT201" s="692"/>
      <c r="KU201" s="692"/>
      <c r="KV201" s="692"/>
      <c r="KW201" s="692"/>
      <c r="KX201" s="692"/>
      <c r="KY201" s="692"/>
      <c r="KZ201" s="692"/>
      <c r="LA201" s="692"/>
      <c r="LB201" s="692"/>
      <c r="LC201" s="692"/>
      <c r="LD201" s="692"/>
      <c r="LE201" s="692"/>
      <c r="LF201" s="692"/>
      <c r="LG201" s="692"/>
      <c r="LH201" s="692"/>
      <c r="LI201" s="692"/>
      <c r="LJ201" s="692"/>
      <c r="LK201" s="692"/>
      <c r="LL201" s="692"/>
      <c r="LM201" s="692"/>
      <c r="LN201" s="692"/>
      <c r="LO201" s="692"/>
      <c r="LP201" s="692"/>
      <c r="LQ201" s="692"/>
      <c r="LR201" s="692"/>
      <c r="LS201" s="692"/>
      <c r="LT201" s="692"/>
      <c r="LU201" s="692"/>
      <c r="LV201" s="692"/>
      <c r="LW201" s="692"/>
      <c r="LX201" s="692"/>
      <c r="LY201" s="692"/>
      <c r="LZ201" s="692"/>
      <c r="MA201" s="692"/>
      <c r="MB201" s="692"/>
      <c r="MC201" s="692"/>
      <c r="MD201" s="692"/>
      <c r="ME201" s="692"/>
      <c r="MF201" s="692"/>
      <c r="MG201" s="692"/>
      <c r="MH201" s="692"/>
      <c r="MI201" s="692"/>
      <c r="MJ201" s="692"/>
      <c r="MK201" s="692"/>
      <c r="ML201" s="692"/>
      <c r="MM201" s="692"/>
      <c r="MN201" s="692"/>
      <c r="MO201" s="692"/>
      <c r="MP201" s="692"/>
      <c r="MQ201" s="692"/>
      <c r="MR201" s="692"/>
      <c r="MS201" s="692"/>
      <c r="MT201" s="692"/>
      <c r="MU201" s="692"/>
      <c r="MV201" s="692"/>
      <c r="MW201" s="692"/>
      <c r="MX201" s="692"/>
      <c r="MY201" s="692"/>
      <c r="MZ201" s="692"/>
      <c r="NA201" s="692"/>
      <c r="NB201" s="692"/>
      <c r="NC201" s="692"/>
      <c r="ND201" s="692"/>
      <c r="NE201" s="692"/>
      <c r="NF201" s="692"/>
      <c r="NG201" s="692"/>
      <c r="NH201" s="692"/>
      <c r="NI201" s="692"/>
      <c r="NJ201" s="692"/>
      <c r="NK201" s="692"/>
      <c r="NL201" s="692"/>
      <c r="NM201" s="692"/>
      <c r="NN201" s="692"/>
      <c r="NO201" s="692"/>
    </row>
    <row r="202" spans="1:379" ht="15.75" thickBot="1" x14ac:dyDescent="0.3">
      <c r="A202" s="18" t="s">
        <v>287</v>
      </c>
      <c r="B202" s="19" t="s">
        <v>229</v>
      </c>
      <c r="C202" s="524" t="s">
        <v>232</v>
      </c>
      <c r="D202" s="19" t="s">
        <v>342</v>
      </c>
      <c r="E202" s="19" t="s">
        <v>231</v>
      </c>
      <c r="F202" s="278" t="s">
        <v>344</v>
      </c>
      <c r="G202" s="692"/>
      <c r="H202" s="692"/>
      <c r="I202" s="692"/>
      <c r="J202" s="692"/>
      <c r="K202" s="692"/>
      <c r="L202" s="692"/>
      <c r="M202" s="692"/>
      <c r="N202" s="692"/>
      <c r="O202" s="692"/>
      <c r="P202" s="692"/>
      <c r="Q202" s="692"/>
      <c r="R202" s="692"/>
      <c r="S202" s="692"/>
      <c r="T202" s="692"/>
      <c r="U202" s="692"/>
      <c r="V202" s="692"/>
      <c r="W202" s="692"/>
      <c r="X202" s="692"/>
      <c r="Y202" s="692"/>
      <c r="Z202" s="692"/>
      <c r="AA202" s="692"/>
      <c r="AB202" s="692"/>
      <c r="AC202" s="692"/>
      <c r="AD202" s="692"/>
      <c r="AE202" s="692"/>
      <c r="AF202" s="692"/>
      <c r="AG202" s="692"/>
      <c r="AH202" s="692"/>
      <c r="AI202" s="692"/>
      <c r="AJ202" s="692"/>
      <c r="AK202" s="692"/>
      <c r="AL202" s="692"/>
      <c r="AM202" s="692"/>
      <c r="AN202" s="692"/>
      <c r="AO202" s="692"/>
      <c r="AP202" s="692"/>
      <c r="AQ202" s="692"/>
      <c r="AR202" s="692"/>
      <c r="AS202" s="692"/>
      <c r="AT202" s="692"/>
      <c r="AU202" s="692"/>
      <c r="AV202" s="692"/>
      <c r="AW202" s="692"/>
      <c r="AX202" s="692"/>
      <c r="AY202" s="692"/>
      <c r="AZ202" s="692"/>
      <c r="BA202" s="692"/>
      <c r="BB202" s="692"/>
      <c r="BC202" s="692"/>
      <c r="BD202" s="692"/>
      <c r="BE202" s="692"/>
      <c r="BF202" s="692"/>
      <c r="BG202" s="692"/>
      <c r="BH202" s="692"/>
      <c r="BI202" s="692"/>
      <c r="BJ202" s="692"/>
      <c r="BK202" s="692"/>
      <c r="BL202" s="692"/>
      <c r="BM202" s="692"/>
      <c r="BN202" s="692"/>
      <c r="BO202" s="692"/>
      <c r="BP202" s="692"/>
      <c r="BQ202" s="692"/>
      <c r="BR202" s="692"/>
      <c r="BS202" s="692"/>
      <c r="BT202" s="692"/>
      <c r="BU202" s="692"/>
      <c r="BV202" s="692"/>
      <c r="BW202" s="692"/>
      <c r="BX202" s="692"/>
      <c r="BY202" s="692"/>
      <c r="BZ202" s="692"/>
      <c r="CA202" s="692"/>
      <c r="CB202" s="692"/>
      <c r="CC202" s="692"/>
      <c r="CD202" s="692"/>
      <c r="CE202" s="692"/>
      <c r="CF202" s="692"/>
      <c r="CG202" s="692"/>
      <c r="CH202" s="692"/>
      <c r="CI202" s="692"/>
      <c r="CJ202" s="692"/>
      <c r="CK202" s="692"/>
      <c r="CL202" s="692"/>
      <c r="CM202" s="692"/>
      <c r="CN202" s="692"/>
      <c r="CO202" s="692"/>
      <c r="CP202" s="692"/>
      <c r="CQ202" s="692"/>
      <c r="CR202" s="692"/>
      <c r="CS202" s="692"/>
      <c r="CT202" s="692"/>
      <c r="CU202" s="692"/>
      <c r="CV202" s="692"/>
      <c r="CW202" s="692"/>
      <c r="CX202" s="692"/>
      <c r="CY202" s="692"/>
      <c r="CZ202" s="692"/>
      <c r="DA202" s="692"/>
      <c r="DB202" s="692"/>
      <c r="DC202" s="692"/>
      <c r="DD202" s="692"/>
      <c r="DE202" s="692"/>
      <c r="DF202" s="692"/>
      <c r="DG202" s="692"/>
      <c r="DH202" s="692"/>
      <c r="DI202" s="692"/>
      <c r="DJ202" s="692"/>
      <c r="DK202" s="692"/>
      <c r="DL202" s="692"/>
      <c r="DM202" s="692"/>
      <c r="DN202" s="692"/>
      <c r="DO202" s="692"/>
      <c r="DP202" s="692"/>
      <c r="DQ202" s="692"/>
      <c r="DR202" s="692"/>
      <c r="DS202" s="692"/>
      <c r="DT202" s="692"/>
      <c r="DU202" s="692"/>
      <c r="DV202" s="692"/>
      <c r="DW202" s="692"/>
      <c r="DX202" s="692"/>
      <c r="DY202" s="692"/>
      <c r="DZ202" s="692"/>
      <c r="EA202" s="692"/>
      <c r="EB202" s="692"/>
      <c r="EC202" s="692"/>
      <c r="ED202" s="692"/>
      <c r="EE202" s="692"/>
      <c r="EF202" s="692"/>
      <c r="EG202" s="692"/>
      <c r="EH202" s="692"/>
      <c r="EI202" s="692"/>
      <c r="EJ202" s="692"/>
      <c r="EK202" s="692"/>
      <c r="EL202" s="692"/>
      <c r="EM202" s="692"/>
      <c r="EN202" s="692"/>
      <c r="EO202" s="692"/>
      <c r="EP202" s="692"/>
      <c r="EQ202" s="692"/>
      <c r="ER202" s="692"/>
      <c r="ES202" s="692"/>
      <c r="ET202" s="692"/>
      <c r="EU202" s="692"/>
      <c r="EV202" s="692"/>
      <c r="EW202" s="692"/>
      <c r="EX202" s="692"/>
      <c r="EY202" s="692"/>
      <c r="EZ202" s="692"/>
      <c r="FA202" s="692"/>
      <c r="FB202" s="692"/>
      <c r="FC202" s="692"/>
      <c r="FD202" s="692"/>
      <c r="FE202" s="692"/>
      <c r="FF202" s="692"/>
      <c r="FG202" s="692"/>
      <c r="FH202" s="692"/>
      <c r="FI202" s="692"/>
      <c r="FJ202" s="692"/>
      <c r="FK202" s="692"/>
      <c r="FL202" s="692"/>
      <c r="FM202" s="692"/>
      <c r="FN202" s="692"/>
      <c r="FO202" s="692"/>
      <c r="FP202" s="692"/>
      <c r="FQ202" s="692"/>
      <c r="FR202" s="692"/>
      <c r="FS202" s="692"/>
      <c r="FT202" s="692"/>
      <c r="FU202" s="692"/>
      <c r="FV202" s="692"/>
      <c r="FW202" s="692"/>
      <c r="FX202" s="692"/>
      <c r="FY202" s="692"/>
      <c r="FZ202" s="692"/>
      <c r="GA202" s="692"/>
      <c r="GB202" s="692"/>
      <c r="GC202" s="692"/>
      <c r="GD202" s="692"/>
      <c r="GE202" s="692"/>
      <c r="GF202" s="692"/>
      <c r="GG202" s="692"/>
      <c r="GH202" s="692"/>
      <c r="GI202" s="692"/>
      <c r="GJ202" s="692"/>
      <c r="GK202" s="692"/>
      <c r="GL202" s="692"/>
      <c r="GM202" s="692"/>
      <c r="GN202" s="692"/>
      <c r="GO202" s="692"/>
      <c r="GP202" s="692"/>
      <c r="GQ202" s="692"/>
      <c r="GR202" s="692"/>
      <c r="GS202" s="692"/>
      <c r="GT202" s="692"/>
      <c r="GU202" s="692"/>
      <c r="GV202" s="692"/>
      <c r="GW202" s="692"/>
      <c r="GX202" s="692"/>
      <c r="GY202" s="692"/>
      <c r="GZ202" s="692"/>
      <c r="HA202" s="692"/>
      <c r="HB202" s="692"/>
      <c r="HC202" s="692"/>
      <c r="HD202" s="692"/>
      <c r="HE202" s="692"/>
      <c r="HF202" s="692"/>
      <c r="HG202" s="692"/>
      <c r="HH202" s="692"/>
      <c r="HI202" s="692"/>
      <c r="HJ202" s="692"/>
      <c r="HK202" s="692"/>
      <c r="HL202" s="692"/>
      <c r="HM202" s="692"/>
      <c r="HN202" s="692"/>
      <c r="HO202" s="692"/>
      <c r="HP202" s="692"/>
      <c r="HQ202" s="692"/>
      <c r="HR202" s="692"/>
      <c r="HS202" s="692"/>
      <c r="HT202" s="692"/>
      <c r="HU202" s="692"/>
      <c r="HV202" s="692"/>
      <c r="HW202" s="692"/>
      <c r="HX202" s="692"/>
      <c r="HY202" s="692"/>
      <c r="HZ202" s="692"/>
      <c r="IA202" s="692"/>
      <c r="IB202" s="692"/>
      <c r="IC202" s="692"/>
      <c r="ID202" s="692"/>
      <c r="IE202" s="692"/>
      <c r="IF202" s="692"/>
      <c r="IG202" s="692"/>
      <c r="IH202" s="692"/>
      <c r="II202" s="692"/>
      <c r="IJ202" s="692"/>
      <c r="IK202" s="692"/>
      <c r="IL202" s="692"/>
      <c r="IM202" s="692"/>
      <c r="IN202" s="692"/>
      <c r="IO202" s="692"/>
      <c r="IP202" s="692"/>
      <c r="IQ202" s="692"/>
      <c r="IR202" s="692"/>
      <c r="IS202" s="692"/>
      <c r="IT202" s="692"/>
      <c r="IU202" s="692"/>
      <c r="IV202" s="692"/>
      <c r="IW202" s="692"/>
      <c r="IX202" s="692"/>
      <c r="IY202" s="692"/>
      <c r="IZ202" s="692"/>
      <c r="JA202" s="692"/>
      <c r="JB202" s="692"/>
      <c r="JC202" s="692"/>
      <c r="JD202" s="692"/>
      <c r="JE202" s="692"/>
      <c r="JF202" s="692"/>
      <c r="JG202" s="692"/>
      <c r="JH202" s="692"/>
      <c r="JI202" s="692"/>
      <c r="JJ202" s="692"/>
      <c r="JK202" s="692"/>
      <c r="JL202" s="692"/>
      <c r="JM202" s="692"/>
      <c r="JN202" s="692"/>
      <c r="JO202" s="692"/>
      <c r="JP202" s="692"/>
      <c r="JQ202" s="692"/>
      <c r="JR202" s="692"/>
      <c r="JS202" s="692"/>
      <c r="JT202" s="692"/>
      <c r="JU202" s="692"/>
      <c r="JV202" s="692"/>
      <c r="JW202" s="692"/>
      <c r="JX202" s="692"/>
      <c r="JY202" s="692"/>
      <c r="JZ202" s="692"/>
      <c r="KA202" s="692"/>
      <c r="KB202" s="692"/>
      <c r="KC202" s="692"/>
      <c r="KD202" s="692"/>
      <c r="KE202" s="692"/>
      <c r="KF202" s="692"/>
      <c r="KG202" s="692"/>
      <c r="KH202" s="692"/>
      <c r="KI202" s="692"/>
      <c r="KJ202" s="692"/>
      <c r="KK202" s="692"/>
      <c r="KL202" s="692"/>
      <c r="KM202" s="692"/>
      <c r="KN202" s="692"/>
      <c r="KO202" s="692"/>
      <c r="KP202" s="692"/>
      <c r="KQ202" s="692"/>
      <c r="KR202" s="692"/>
      <c r="KS202" s="692"/>
      <c r="KT202" s="692"/>
      <c r="KU202" s="692"/>
      <c r="KV202" s="692"/>
      <c r="KW202" s="692"/>
      <c r="KX202" s="692"/>
      <c r="KY202" s="692"/>
      <c r="KZ202" s="692"/>
      <c r="LA202" s="692"/>
      <c r="LB202" s="692"/>
      <c r="LC202" s="692"/>
      <c r="LD202" s="692"/>
      <c r="LE202" s="692"/>
      <c r="LF202" s="692"/>
      <c r="LG202" s="692"/>
      <c r="LH202" s="692"/>
      <c r="LI202" s="692"/>
      <c r="LJ202" s="692"/>
      <c r="LK202" s="692"/>
      <c r="LL202" s="692"/>
      <c r="LM202" s="692"/>
      <c r="LN202" s="692"/>
      <c r="LO202" s="692"/>
      <c r="LP202" s="692"/>
      <c r="LQ202" s="692"/>
      <c r="LR202" s="692"/>
      <c r="LS202" s="692"/>
      <c r="LT202" s="692"/>
      <c r="LU202" s="692"/>
      <c r="LV202" s="692"/>
      <c r="LW202" s="692"/>
      <c r="LX202" s="692"/>
      <c r="LY202" s="692"/>
      <c r="LZ202" s="692"/>
      <c r="MA202" s="692"/>
      <c r="MB202" s="692"/>
      <c r="MC202" s="692"/>
      <c r="MD202" s="692"/>
      <c r="ME202" s="692"/>
      <c r="MF202" s="692"/>
      <c r="MG202" s="692"/>
      <c r="MH202" s="692"/>
      <c r="MI202" s="692"/>
      <c r="MJ202" s="692"/>
      <c r="MK202" s="692"/>
      <c r="ML202" s="692"/>
      <c r="MM202" s="692"/>
      <c r="MN202" s="692"/>
      <c r="MO202" s="692"/>
      <c r="MP202" s="692"/>
      <c r="MQ202" s="692"/>
      <c r="MR202" s="692"/>
      <c r="MS202" s="692"/>
      <c r="MT202" s="692"/>
      <c r="MU202" s="692"/>
      <c r="MV202" s="692"/>
      <c r="MW202" s="692"/>
      <c r="MX202" s="692"/>
      <c r="MY202" s="692"/>
      <c r="MZ202" s="692"/>
      <c r="NA202" s="692"/>
      <c r="NB202" s="692"/>
      <c r="NC202" s="692"/>
      <c r="ND202" s="692"/>
      <c r="NE202" s="692"/>
      <c r="NF202" s="692"/>
      <c r="NG202" s="692"/>
      <c r="NH202" s="692"/>
      <c r="NI202" s="692"/>
      <c r="NJ202" s="692"/>
      <c r="NK202" s="692"/>
      <c r="NL202" s="692"/>
      <c r="NM202" s="692"/>
      <c r="NN202" s="692"/>
      <c r="NO202" s="692"/>
    </row>
    <row r="203" spans="1:379" ht="27.75" thickBot="1" x14ac:dyDescent="0.3">
      <c r="A203" s="6" t="s">
        <v>1550</v>
      </c>
      <c r="B203" s="6" t="s">
        <v>1673</v>
      </c>
      <c r="C203" s="394" t="s">
        <v>1674</v>
      </c>
      <c r="D203" s="1423" t="s">
        <v>1675</v>
      </c>
      <c r="E203" s="35"/>
      <c r="F203" s="686" t="s">
        <v>1676</v>
      </c>
      <c r="G203" s="692"/>
      <c r="H203" s="692"/>
      <c r="I203" s="692"/>
      <c r="J203" s="692"/>
      <c r="K203" s="692"/>
      <c r="L203" s="692"/>
      <c r="M203" s="692"/>
      <c r="N203" s="692"/>
      <c r="O203" s="692"/>
      <c r="P203" s="692"/>
      <c r="Q203" s="692"/>
      <c r="R203" s="692"/>
      <c r="S203" s="692"/>
      <c r="T203" s="692"/>
      <c r="U203" s="692"/>
      <c r="V203" s="692"/>
      <c r="W203" s="692"/>
      <c r="X203" s="692"/>
      <c r="Y203" s="692"/>
      <c r="Z203" s="692"/>
      <c r="AA203" s="692"/>
      <c r="AB203" s="692"/>
      <c r="AC203" s="692"/>
      <c r="AD203" s="692"/>
      <c r="AE203" s="692"/>
      <c r="AF203" s="692"/>
      <c r="AG203" s="692"/>
      <c r="AH203" s="692"/>
      <c r="AI203" s="692"/>
      <c r="AJ203" s="692"/>
      <c r="AK203" s="692"/>
      <c r="AL203" s="692"/>
      <c r="AM203" s="692"/>
      <c r="AN203" s="692"/>
      <c r="AO203" s="692"/>
      <c r="AP203" s="692"/>
      <c r="AQ203" s="692"/>
      <c r="AR203" s="692"/>
      <c r="AS203" s="692"/>
      <c r="AT203" s="692"/>
      <c r="AU203" s="692"/>
      <c r="AV203" s="692"/>
      <c r="AW203" s="692"/>
      <c r="AX203" s="692"/>
      <c r="AY203" s="692"/>
      <c r="AZ203" s="692"/>
      <c r="BA203" s="692"/>
      <c r="BB203" s="692"/>
      <c r="BC203" s="692"/>
      <c r="BD203" s="692"/>
      <c r="BE203" s="692"/>
      <c r="BF203" s="692"/>
      <c r="BG203" s="692"/>
      <c r="BH203" s="692"/>
      <c r="BI203" s="692"/>
      <c r="BJ203" s="692"/>
      <c r="BK203" s="692"/>
      <c r="BL203" s="692"/>
      <c r="BM203" s="692"/>
      <c r="BN203" s="692"/>
      <c r="BO203" s="692"/>
      <c r="BP203" s="692"/>
      <c r="BQ203" s="692"/>
      <c r="BR203" s="692"/>
      <c r="BS203" s="692"/>
      <c r="BT203" s="692"/>
      <c r="BU203" s="692"/>
      <c r="BV203" s="692"/>
      <c r="BW203" s="692"/>
      <c r="BX203" s="692"/>
      <c r="BY203" s="692"/>
      <c r="BZ203" s="692"/>
      <c r="CA203" s="692"/>
      <c r="CB203" s="692"/>
      <c r="CC203" s="692"/>
      <c r="CD203" s="692"/>
      <c r="CE203" s="692"/>
      <c r="CF203" s="692"/>
      <c r="CG203" s="692"/>
      <c r="CH203" s="692"/>
      <c r="CI203" s="692"/>
      <c r="CJ203" s="692"/>
      <c r="CK203" s="692"/>
      <c r="CL203" s="692"/>
      <c r="CM203" s="692"/>
      <c r="CN203" s="692"/>
      <c r="CO203" s="692"/>
      <c r="CP203" s="692"/>
      <c r="CQ203" s="692"/>
      <c r="CR203" s="692"/>
      <c r="CS203" s="692"/>
      <c r="CT203" s="692"/>
      <c r="CU203" s="692"/>
      <c r="CV203" s="692"/>
      <c r="CW203" s="692"/>
      <c r="CX203" s="692"/>
      <c r="CY203" s="692"/>
      <c r="CZ203" s="692"/>
      <c r="DA203" s="692"/>
      <c r="DB203" s="692"/>
      <c r="DC203" s="692"/>
      <c r="DD203" s="692"/>
      <c r="DE203" s="692"/>
      <c r="DF203" s="692"/>
      <c r="DG203" s="692"/>
      <c r="DH203" s="692"/>
      <c r="DI203" s="692"/>
      <c r="DJ203" s="692"/>
      <c r="DK203" s="692"/>
      <c r="DL203" s="692"/>
      <c r="DM203" s="692"/>
      <c r="DN203" s="692"/>
      <c r="DO203" s="692"/>
      <c r="DP203" s="692"/>
      <c r="DQ203" s="692"/>
      <c r="DR203" s="692"/>
      <c r="DS203" s="692"/>
      <c r="DT203" s="692"/>
      <c r="DU203" s="692"/>
      <c r="DV203" s="692"/>
      <c r="DW203" s="692"/>
      <c r="DX203" s="692"/>
      <c r="DY203" s="692"/>
      <c r="DZ203" s="692"/>
      <c r="EA203" s="692"/>
      <c r="EB203" s="692"/>
      <c r="EC203" s="692"/>
      <c r="ED203" s="692"/>
      <c r="EE203" s="692"/>
      <c r="EF203" s="692"/>
      <c r="EG203" s="692"/>
      <c r="EH203" s="692"/>
      <c r="EI203" s="692"/>
      <c r="EJ203" s="692"/>
      <c r="EK203" s="692"/>
      <c r="EL203" s="692"/>
      <c r="EM203" s="692"/>
      <c r="EN203" s="692"/>
      <c r="EO203" s="692"/>
      <c r="EP203" s="692"/>
      <c r="EQ203" s="692"/>
      <c r="ER203" s="692"/>
      <c r="ES203" s="692"/>
      <c r="ET203" s="692"/>
      <c r="EU203" s="692"/>
      <c r="EV203" s="692"/>
      <c r="EW203" s="692"/>
      <c r="EX203" s="692"/>
      <c r="EY203" s="692"/>
      <c r="EZ203" s="692"/>
      <c r="FA203" s="692"/>
      <c r="FB203" s="692"/>
      <c r="FC203" s="692"/>
      <c r="FD203" s="692"/>
      <c r="FE203" s="692"/>
      <c r="FF203" s="692"/>
      <c r="FG203" s="692"/>
      <c r="FH203" s="692"/>
      <c r="FI203" s="692"/>
      <c r="FJ203" s="692"/>
      <c r="FK203" s="692"/>
      <c r="FL203" s="692"/>
      <c r="FM203" s="692"/>
      <c r="FN203" s="692"/>
      <c r="FO203" s="692"/>
      <c r="FP203" s="692"/>
      <c r="FQ203" s="692"/>
      <c r="FR203" s="692"/>
      <c r="FS203" s="692"/>
      <c r="FT203" s="692"/>
      <c r="FU203" s="692"/>
      <c r="FV203" s="692"/>
      <c r="FW203" s="692"/>
      <c r="FX203" s="692"/>
      <c r="FY203" s="692"/>
      <c r="FZ203" s="692"/>
      <c r="GA203" s="692"/>
      <c r="GB203" s="692"/>
      <c r="GC203" s="692"/>
      <c r="GD203" s="692"/>
      <c r="GE203" s="692"/>
      <c r="GF203" s="692"/>
      <c r="GG203" s="692"/>
      <c r="GH203" s="692"/>
      <c r="GI203" s="692"/>
      <c r="GJ203" s="692"/>
      <c r="GK203" s="692"/>
      <c r="GL203" s="692"/>
      <c r="GM203" s="692"/>
      <c r="GN203" s="692"/>
      <c r="GO203" s="692"/>
      <c r="GP203" s="692"/>
      <c r="GQ203" s="692"/>
      <c r="GR203" s="692"/>
      <c r="GS203" s="692"/>
      <c r="GT203" s="692"/>
      <c r="GU203" s="692"/>
      <c r="GV203" s="692"/>
      <c r="GW203" s="692"/>
      <c r="GX203" s="692"/>
      <c r="GY203" s="692"/>
      <c r="GZ203" s="692"/>
      <c r="HA203" s="692"/>
      <c r="HB203" s="692"/>
      <c r="HC203" s="692"/>
      <c r="HD203" s="692"/>
      <c r="HE203" s="692"/>
      <c r="HF203" s="692"/>
      <c r="HG203" s="692"/>
      <c r="HH203" s="692"/>
      <c r="HI203" s="692"/>
      <c r="HJ203" s="692"/>
      <c r="HK203" s="692"/>
      <c r="HL203" s="692"/>
      <c r="HM203" s="692"/>
      <c r="HN203" s="692"/>
      <c r="HO203" s="692"/>
      <c r="HP203" s="692"/>
      <c r="HQ203" s="692"/>
      <c r="HR203" s="692"/>
      <c r="HS203" s="692"/>
      <c r="HT203" s="692"/>
      <c r="HU203" s="692"/>
      <c r="HV203" s="692"/>
      <c r="HW203" s="692"/>
      <c r="HX203" s="692"/>
      <c r="HY203" s="692"/>
      <c r="HZ203" s="692"/>
      <c r="IA203" s="692"/>
      <c r="IB203" s="692"/>
      <c r="IC203" s="692"/>
      <c r="ID203" s="692"/>
      <c r="IE203" s="692"/>
      <c r="IF203" s="692"/>
      <c r="IG203" s="692"/>
      <c r="IH203" s="692"/>
      <c r="II203" s="692"/>
      <c r="IJ203" s="692"/>
      <c r="IK203" s="692"/>
      <c r="IL203" s="692"/>
      <c r="IM203" s="692"/>
      <c r="IN203" s="692"/>
      <c r="IO203" s="692"/>
      <c r="IP203" s="692"/>
      <c r="IQ203" s="692"/>
      <c r="IR203" s="692"/>
      <c r="IS203" s="692"/>
      <c r="IT203" s="692"/>
      <c r="IU203" s="692"/>
      <c r="IV203" s="692"/>
      <c r="IW203" s="692"/>
      <c r="IX203" s="692"/>
      <c r="IY203" s="692"/>
      <c r="IZ203" s="692"/>
      <c r="JA203" s="692"/>
      <c r="JB203" s="692"/>
      <c r="JC203" s="692"/>
      <c r="JD203" s="692"/>
      <c r="JE203" s="692"/>
      <c r="JF203" s="692"/>
      <c r="JG203" s="692"/>
      <c r="JH203" s="692"/>
      <c r="JI203" s="692"/>
      <c r="JJ203" s="692"/>
      <c r="JK203" s="692"/>
      <c r="JL203" s="692"/>
      <c r="JM203" s="692"/>
      <c r="JN203" s="692"/>
      <c r="JO203" s="692"/>
      <c r="JP203" s="692"/>
      <c r="JQ203" s="692"/>
      <c r="JR203" s="692"/>
      <c r="JS203" s="692"/>
      <c r="JT203" s="692"/>
      <c r="JU203" s="692"/>
      <c r="JV203" s="692"/>
      <c r="JW203" s="692"/>
      <c r="JX203" s="692"/>
      <c r="JY203" s="692"/>
      <c r="JZ203" s="692"/>
      <c r="KA203" s="692"/>
      <c r="KB203" s="692"/>
      <c r="KC203" s="692"/>
      <c r="KD203" s="692"/>
      <c r="KE203" s="692"/>
      <c r="KF203" s="692"/>
      <c r="KG203" s="692"/>
      <c r="KH203" s="692"/>
      <c r="KI203" s="692"/>
      <c r="KJ203" s="692"/>
      <c r="KK203" s="692"/>
      <c r="KL203" s="692"/>
      <c r="KM203" s="692"/>
      <c r="KN203" s="692"/>
      <c r="KO203" s="692"/>
      <c r="KP203" s="692"/>
      <c r="KQ203" s="692"/>
      <c r="KR203" s="692"/>
      <c r="KS203" s="692"/>
      <c r="KT203" s="692"/>
      <c r="KU203" s="692"/>
      <c r="KV203" s="692"/>
      <c r="KW203" s="692"/>
      <c r="KX203" s="692"/>
      <c r="KY203" s="692"/>
      <c r="KZ203" s="692"/>
      <c r="LA203" s="692"/>
      <c r="LB203" s="692"/>
      <c r="LC203" s="692"/>
      <c r="LD203" s="692"/>
      <c r="LE203" s="692"/>
      <c r="LF203" s="692"/>
      <c r="LG203" s="692"/>
      <c r="LH203" s="692"/>
      <c r="LI203" s="692"/>
      <c r="LJ203" s="692"/>
      <c r="LK203" s="692"/>
      <c r="LL203" s="692"/>
      <c r="LM203" s="692"/>
      <c r="LN203" s="692"/>
      <c r="LO203" s="692"/>
      <c r="LP203" s="692"/>
      <c r="LQ203" s="692"/>
      <c r="LR203" s="692"/>
      <c r="LS203" s="692"/>
      <c r="LT203" s="692"/>
      <c r="LU203" s="692"/>
      <c r="LV203" s="692"/>
      <c r="LW203" s="692"/>
      <c r="LX203" s="692"/>
      <c r="LY203" s="692"/>
      <c r="LZ203" s="692"/>
      <c r="MA203" s="692"/>
      <c r="MB203" s="692"/>
      <c r="MC203" s="692"/>
      <c r="MD203" s="692"/>
      <c r="ME203" s="692"/>
      <c r="MF203" s="692"/>
      <c r="MG203" s="692"/>
      <c r="MH203" s="692"/>
      <c r="MI203" s="692"/>
      <c r="MJ203" s="692"/>
      <c r="MK203" s="692"/>
      <c r="ML203" s="692"/>
      <c r="MM203" s="692"/>
      <c r="MN203" s="692"/>
      <c r="MO203" s="692"/>
      <c r="MP203" s="692"/>
      <c r="MQ203" s="692"/>
      <c r="MR203" s="692"/>
      <c r="MS203" s="692"/>
      <c r="MT203" s="692"/>
      <c r="MU203" s="692"/>
      <c r="MV203" s="692"/>
      <c r="MW203" s="692"/>
      <c r="MX203" s="692"/>
      <c r="MY203" s="692"/>
      <c r="MZ203" s="692"/>
      <c r="NA203" s="692"/>
      <c r="NB203" s="692"/>
      <c r="NC203" s="692"/>
      <c r="ND203" s="692"/>
      <c r="NE203" s="692"/>
      <c r="NF203" s="692"/>
      <c r="NG203" s="692"/>
      <c r="NH203" s="692"/>
      <c r="NI203" s="692"/>
      <c r="NJ203" s="692"/>
      <c r="NK203" s="692"/>
      <c r="NL203" s="692"/>
      <c r="NM203" s="692"/>
      <c r="NN203" s="692"/>
      <c r="NO203" s="692"/>
    </row>
    <row r="204" spans="1:379" ht="15.75" thickBot="1" x14ac:dyDescent="0.3">
      <c r="A204" s="151" t="s">
        <v>1677</v>
      </c>
      <c r="B204" s="180" t="s">
        <v>229</v>
      </c>
      <c r="C204" s="492"/>
      <c r="D204" s="3"/>
      <c r="E204" s="3"/>
      <c r="F204" s="200"/>
      <c r="G204" s="692"/>
      <c r="H204" s="692"/>
      <c r="I204" s="692"/>
      <c r="J204" s="692"/>
      <c r="K204" s="692"/>
      <c r="L204" s="692"/>
      <c r="M204" s="692"/>
      <c r="N204" s="692"/>
      <c r="O204" s="692"/>
      <c r="P204" s="692"/>
      <c r="Q204" s="692"/>
      <c r="R204" s="692"/>
      <c r="S204" s="692"/>
      <c r="T204" s="692"/>
      <c r="U204" s="692"/>
      <c r="V204" s="692"/>
      <c r="W204" s="692"/>
      <c r="X204" s="692"/>
      <c r="Y204" s="692"/>
      <c r="Z204" s="692"/>
      <c r="AA204" s="692"/>
      <c r="AB204" s="692"/>
      <c r="AC204" s="692"/>
      <c r="AD204" s="692"/>
      <c r="AE204" s="692"/>
      <c r="AF204" s="692"/>
      <c r="AG204" s="692"/>
      <c r="AH204" s="692"/>
      <c r="AI204" s="692"/>
      <c r="AJ204" s="692"/>
      <c r="AK204" s="692"/>
      <c r="AL204" s="692"/>
      <c r="AM204" s="692"/>
      <c r="AN204" s="692"/>
      <c r="AO204" s="692"/>
      <c r="AP204" s="692"/>
      <c r="AQ204" s="692"/>
      <c r="AR204" s="692"/>
      <c r="AS204" s="692"/>
      <c r="AT204" s="692"/>
      <c r="AU204" s="692"/>
      <c r="AV204" s="692"/>
      <c r="AW204" s="692"/>
      <c r="AX204" s="692"/>
      <c r="AY204" s="692"/>
      <c r="AZ204" s="692"/>
      <c r="BA204" s="692"/>
      <c r="BB204" s="692"/>
      <c r="BC204" s="692"/>
      <c r="BD204" s="692"/>
      <c r="BE204" s="692"/>
      <c r="BF204" s="692"/>
      <c r="BG204" s="692"/>
      <c r="BH204" s="692"/>
      <c r="BI204" s="692"/>
      <c r="BJ204" s="692"/>
      <c r="BK204" s="692"/>
      <c r="BL204" s="692"/>
      <c r="BM204" s="692"/>
      <c r="BN204" s="692"/>
      <c r="BO204" s="692"/>
      <c r="BP204" s="692"/>
      <c r="BQ204" s="692"/>
      <c r="BR204" s="692"/>
      <c r="BS204" s="692"/>
      <c r="BT204" s="692"/>
      <c r="BU204" s="692"/>
      <c r="BV204" s="692"/>
      <c r="BW204" s="692"/>
      <c r="BX204" s="692"/>
      <c r="BY204" s="692"/>
      <c r="BZ204" s="692"/>
      <c r="CA204" s="692"/>
      <c r="CB204" s="692"/>
      <c r="CC204" s="692"/>
      <c r="CD204" s="692"/>
      <c r="CE204" s="692"/>
      <c r="CF204" s="692"/>
      <c r="CG204" s="692"/>
      <c r="CH204" s="692"/>
      <c r="CI204" s="692"/>
      <c r="CJ204" s="692"/>
      <c r="CK204" s="692"/>
      <c r="CL204" s="692"/>
      <c r="CM204" s="692"/>
      <c r="CN204" s="692"/>
      <c r="CO204" s="692"/>
      <c r="CP204" s="692"/>
      <c r="CQ204" s="692"/>
      <c r="CR204" s="692"/>
      <c r="CS204" s="692"/>
      <c r="CT204" s="692"/>
      <c r="CU204" s="692"/>
      <c r="CV204" s="692"/>
      <c r="CW204" s="692"/>
      <c r="CX204" s="692"/>
      <c r="CY204" s="692"/>
      <c r="CZ204" s="692"/>
      <c r="DA204" s="692"/>
      <c r="DB204" s="692"/>
      <c r="DC204" s="692"/>
      <c r="DD204" s="692"/>
      <c r="DE204" s="692"/>
      <c r="DF204" s="692"/>
      <c r="DG204" s="692"/>
      <c r="DH204" s="692"/>
      <c r="DI204" s="692"/>
      <c r="DJ204" s="692"/>
      <c r="DK204" s="692"/>
      <c r="DL204" s="692"/>
      <c r="DM204" s="692"/>
      <c r="DN204" s="692"/>
      <c r="DO204" s="692"/>
      <c r="DP204" s="692"/>
      <c r="DQ204" s="692"/>
      <c r="DR204" s="692"/>
      <c r="DS204" s="692"/>
      <c r="DT204" s="692"/>
      <c r="DU204" s="692"/>
      <c r="DV204" s="692"/>
      <c r="DW204" s="692"/>
      <c r="DX204" s="692"/>
      <c r="DY204" s="692"/>
      <c r="DZ204" s="692"/>
      <c r="EA204" s="692"/>
      <c r="EB204" s="692"/>
      <c r="EC204" s="692"/>
      <c r="ED204" s="692"/>
      <c r="EE204" s="692"/>
      <c r="EF204" s="692"/>
      <c r="EG204" s="692"/>
      <c r="EH204" s="692"/>
      <c r="EI204" s="692"/>
      <c r="EJ204" s="692"/>
      <c r="EK204" s="692"/>
      <c r="EL204" s="692"/>
      <c r="EM204" s="692"/>
      <c r="EN204" s="692"/>
      <c r="EO204" s="692"/>
      <c r="EP204" s="692"/>
      <c r="EQ204" s="692"/>
      <c r="ER204" s="692"/>
      <c r="ES204" s="692"/>
      <c r="ET204" s="692"/>
      <c r="EU204" s="692"/>
      <c r="EV204" s="692"/>
      <c r="EW204" s="692"/>
      <c r="EX204" s="692"/>
      <c r="EY204" s="692"/>
      <c r="EZ204" s="692"/>
      <c r="FA204" s="692"/>
      <c r="FB204" s="692"/>
      <c r="FC204" s="692"/>
      <c r="FD204" s="692"/>
      <c r="FE204" s="692"/>
      <c r="FF204" s="692"/>
      <c r="FG204" s="692"/>
      <c r="FH204" s="692"/>
      <c r="FI204" s="692"/>
      <c r="FJ204" s="692"/>
      <c r="FK204" s="692"/>
      <c r="FL204" s="692"/>
      <c r="FM204" s="692"/>
      <c r="FN204" s="692"/>
      <c r="FO204" s="692"/>
      <c r="FP204" s="692"/>
      <c r="FQ204" s="692"/>
      <c r="FR204" s="692"/>
      <c r="FS204" s="692"/>
      <c r="FT204" s="692"/>
      <c r="FU204" s="692"/>
      <c r="FV204" s="692"/>
      <c r="FW204" s="692"/>
      <c r="FX204" s="692"/>
      <c r="FY204" s="692"/>
      <c r="FZ204" s="692"/>
      <c r="GA204" s="692"/>
      <c r="GB204" s="692"/>
      <c r="GC204" s="692"/>
      <c r="GD204" s="692"/>
      <c r="GE204" s="692"/>
      <c r="GF204" s="692"/>
      <c r="GG204" s="692"/>
      <c r="GH204" s="692"/>
      <c r="GI204" s="692"/>
      <c r="GJ204" s="692"/>
      <c r="GK204" s="692"/>
      <c r="GL204" s="692"/>
      <c r="GM204" s="692"/>
      <c r="GN204" s="692"/>
      <c r="GO204" s="692"/>
      <c r="GP204" s="692"/>
      <c r="GQ204" s="692"/>
      <c r="GR204" s="692"/>
      <c r="GS204" s="692"/>
      <c r="GT204" s="692"/>
      <c r="GU204" s="692"/>
      <c r="GV204" s="692"/>
      <c r="GW204" s="692"/>
      <c r="GX204" s="692"/>
      <c r="GY204" s="692"/>
      <c r="GZ204" s="692"/>
      <c r="HA204" s="692"/>
      <c r="HB204" s="692"/>
      <c r="HC204" s="692"/>
      <c r="HD204" s="692"/>
      <c r="HE204" s="692"/>
      <c r="HF204" s="692"/>
      <c r="HG204" s="692"/>
      <c r="HH204" s="692"/>
      <c r="HI204" s="692"/>
      <c r="HJ204" s="692"/>
      <c r="HK204" s="692"/>
      <c r="HL204" s="692"/>
      <c r="HM204" s="692"/>
      <c r="HN204" s="692"/>
      <c r="HO204" s="692"/>
      <c r="HP204" s="692"/>
      <c r="HQ204" s="692"/>
      <c r="HR204" s="692"/>
      <c r="HS204" s="692"/>
      <c r="HT204" s="692"/>
      <c r="HU204" s="692"/>
      <c r="HV204" s="692"/>
      <c r="HW204" s="692"/>
      <c r="HX204" s="692"/>
      <c r="HY204" s="692"/>
      <c r="HZ204" s="692"/>
      <c r="IA204" s="692"/>
      <c r="IB204" s="692"/>
      <c r="IC204" s="692"/>
      <c r="ID204" s="692"/>
      <c r="IE204" s="692"/>
      <c r="IF204" s="692"/>
      <c r="IG204" s="692"/>
      <c r="IH204" s="692"/>
      <c r="II204" s="692"/>
      <c r="IJ204" s="692"/>
      <c r="IK204" s="692"/>
      <c r="IL204" s="692"/>
      <c r="IM204" s="692"/>
      <c r="IN204" s="692"/>
      <c r="IO204" s="692"/>
      <c r="IP204" s="692"/>
      <c r="IQ204" s="692"/>
      <c r="IR204" s="692"/>
      <c r="IS204" s="692"/>
      <c r="IT204" s="692"/>
      <c r="IU204" s="692"/>
      <c r="IV204" s="692"/>
      <c r="IW204" s="692"/>
      <c r="IX204" s="692"/>
      <c r="IY204" s="692"/>
      <c r="IZ204" s="692"/>
      <c r="JA204" s="692"/>
      <c r="JB204" s="692"/>
      <c r="JC204" s="692"/>
      <c r="JD204" s="692"/>
      <c r="JE204" s="692"/>
      <c r="JF204" s="692"/>
      <c r="JG204" s="692"/>
      <c r="JH204" s="692"/>
      <c r="JI204" s="692"/>
      <c r="JJ204" s="692"/>
      <c r="JK204" s="692"/>
      <c r="JL204" s="692"/>
      <c r="JM204" s="692"/>
      <c r="JN204" s="692"/>
      <c r="JO204" s="692"/>
      <c r="JP204" s="692"/>
      <c r="JQ204" s="692"/>
      <c r="JR204" s="692"/>
      <c r="JS204" s="692"/>
      <c r="JT204" s="692"/>
      <c r="JU204" s="692"/>
      <c r="JV204" s="692"/>
      <c r="JW204" s="692"/>
      <c r="JX204" s="692"/>
      <c r="JY204" s="692"/>
      <c r="JZ204" s="692"/>
      <c r="KA204" s="692"/>
      <c r="KB204" s="692"/>
      <c r="KC204" s="692"/>
      <c r="KD204" s="692"/>
      <c r="KE204" s="692"/>
      <c r="KF204" s="692"/>
      <c r="KG204" s="692"/>
      <c r="KH204" s="692"/>
      <c r="KI204" s="692"/>
      <c r="KJ204" s="692"/>
      <c r="KK204" s="692"/>
      <c r="KL204" s="692"/>
      <c r="KM204" s="692"/>
      <c r="KN204" s="692"/>
      <c r="KO204" s="692"/>
      <c r="KP204" s="692"/>
      <c r="KQ204" s="692"/>
      <c r="KR204" s="692"/>
      <c r="KS204" s="692"/>
      <c r="KT204" s="692"/>
      <c r="KU204" s="692"/>
      <c r="KV204" s="692"/>
      <c r="KW204" s="692"/>
      <c r="KX204" s="692"/>
      <c r="KY204" s="692"/>
      <c r="KZ204" s="692"/>
      <c r="LA204" s="692"/>
      <c r="LB204" s="692"/>
      <c r="LC204" s="692"/>
      <c r="LD204" s="692"/>
      <c r="LE204" s="692"/>
      <c r="LF204" s="692"/>
      <c r="LG204" s="692"/>
      <c r="LH204" s="692"/>
      <c r="LI204" s="692"/>
      <c r="LJ204" s="692"/>
      <c r="LK204" s="692"/>
      <c r="LL204" s="692"/>
      <c r="LM204" s="692"/>
      <c r="LN204" s="692"/>
      <c r="LO204" s="692"/>
      <c r="LP204" s="692"/>
      <c r="LQ204" s="692"/>
      <c r="LR204" s="692"/>
      <c r="LS204" s="692"/>
      <c r="LT204" s="692"/>
      <c r="LU204" s="692"/>
      <c r="LV204" s="692"/>
      <c r="LW204" s="692"/>
      <c r="LX204" s="692"/>
      <c r="LY204" s="692"/>
      <c r="LZ204" s="692"/>
      <c r="MA204" s="692"/>
      <c r="MB204" s="692"/>
      <c r="MC204" s="692"/>
      <c r="MD204" s="692"/>
      <c r="ME204" s="692"/>
      <c r="MF204" s="692"/>
      <c r="MG204" s="692"/>
      <c r="MH204" s="692"/>
      <c r="MI204" s="692"/>
      <c r="MJ204" s="692"/>
      <c r="MK204" s="692"/>
      <c r="ML204" s="692"/>
      <c r="MM204" s="692"/>
      <c r="MN204" s="692"/>
      <c r="MO204" s="692"/>
      <c r="MP204" s="692"/>
      <c r="MQ204" s="692"/>
      <c r="MR204" s="692"/>
      <c r="MS204" s="692"/>
      <c r="MT204" s="692"/>
      <c r="MU204" s="692"/>
      <c r="MV204" s="692"/>
      <c r="MW204" s="692"/>
      <c r="MX204" s="692"/>
      <c r="MY204" s="692"/>
      <c r="MZ204" s="692"/>
      <c r="NA204" s="692"/>
      <c r="NB204" s="692"/>
      <c r="NC204" s="692"/>
      <c r="ND204" s="692"/>
      <c r="NE204" s="692"/>
      <c r="NF204" s="692"/>
      <c r="NG204" s="692"/>
      <c r="NH204" s="692"/>
      <c r="NI204" s="692"/>
      <c r="NJ204" s="692"/>
      <c r="NK204" s="692"/>
      <c r="NL204" s="692"/>
      <c r="NM204" s="692"/>
      <c r="NN204" s="692"/>
      <c r="NO204" s="692"/>
    </row>
    <row r="205" spans="1:379" ht="15.75" thickBot="1" x14ac:dyDescent="0.3">
      <c r="A205" s="679"/>
      <c r="B205" s="125" t="s">
        <v>1678</v>
      </c>
      <c r="C205" s="114"/>
      <c r="D205" s="680"/>
      <c r="E205" s="679"/>
      <c r="F205" s="207"/>
      <c r="G205" s="692"/>
      <c r="H205" s="692"/>
      <c r="I205" s="692"/>
      <c r="J205" s="692"/>
      <c r="K205" s="692"/>
      <c r="L205" s="692"/>
      <c r="M205" s="692"/>
      <c r="N205" s="692"/>
      <c r="O205" s="692"/>
      <c r="P205" s="692"/>
      <c r="Q205" s="692"/>
      <c r="R205" s="692"/>
      <c r="S205" s="692"/>
      <c r="T205" s="692"/>
      <c r="U205" s="692"/>
      <c r="V205" s="692"/>
      <c r="W205" s="692"/>
      <c r="X205" s="692"/>
      <c r="Y205" s="692"/>
      <c r="Z205" s="692"/>
      <c r="AA205" s="692"/>
      <c r="AB205" s="692"/>
      <c r="AC205" s="692"/>
      <c r="AD205" s="692"/>
      <c r="AE205" s="692"/>
      <c r="AF205" s="692"/>
      <c r="AG205" s="692"/>
      <c r="AH205" s="692"/>
      <c r="AI205" s="692"/>
      <c r="AJ205" s="692"/>
      <c r="AK205" s="692"/>
      <c r="AL205" s="692"/>
      <c r="AM205" s="692"/>
      <c r="AN205" s="692"/>
      <c r="AO205" s="692"/>
      <c r="AP205" s="692"/>
      <c r="AQ205" s="692"/>
      <c r="AR205" s="692"/>
      <c r="AS205" s="692"/>
      <c r="AT205" s="692"/>
      <c r="AU205" s="692"/>
      <c r="AV205" s="692"/>
      <c r="AW205" s="692"/>
      <c r="AX205" s="692"/>
      <c r="AY205" s="692"/>
      <c r="AZ205" s="692"/>
      <c r="BA205" s="692"/>
      <c r="BB205" s="692"/>
      <c r="BC205" s="692"/>
      <c r="BD205" s="692"/>
      <c r="BE205" s="692"/>
      <c r="BF205" s="692"/>
      <c r="BG205" s="692"/>
      <c r="BH205" s="692"/>
      <c r="BI205" s="692"/>
      <c r="BJ205" s="692"/>
      <c r="BK205" s="692"/>
      <c r="BL205" s="692"/>
      <c r="BM205" s="692"/>
      <c r="BN205" s="692"/>
      <c r="BO205" s="692"/>
      <c r="BP205" s="692"/>
      <c r="BQ205" s="692"/>
      <c r="BR205" s="692"/>
      <c r="BS205" s="692"/>
      <c r="BT205" s="692"/>
      <c r="BU205" s="692"/>
      <c r="BV205" s="692"/>
      <c r="BW205" s="692"/>
      <c r="BX205" s="692"/>
      <c r="BY205" s="692"/>
      <c r="BZ205" s="692"/>
      <c r="CA205" s="692"/>
      <c r="CB205" s="692"/>
      <c r="CC205" s="692"/>
      <c r="CD205" s="692"/>
      <c r="CE205" s="692"/>
      <c r="CF205" s="692"/>
      <c r="CG205" s="692"/>
      <c r="CH205" s="692"/>
      <c r="CI205" s="692"/>
      <c r="CJ205" s="692"/>
      <c r="CK205" s="692"/>
      <c r="CL205" s="692"/>
      <c r="CM205" s="692"/>
      <c r="CN205" s="692"/>
      <c r="CO205" s="692"/>
      <c r="CP205" s="692"/>
      <c r="CQ205" s="692"/>
      <c r="CR205" s="692"/>
      <c r="CS205" s="692"/>
      <c r="CT205" s="692"/>
      <c r="CU205" s="692"/>
      <c r="CV205" s="692"/>
      <c r="CW205" s="692"/>
      <c r="CX205" s="692"/>
      <c r="CY205" s="692"/>
      <c r="CZ205" s="692"/>
      <c r="DA205" s="692"/>
      <c r="DB205" s="692"/>
      <c r="DC205" s="692"/>
      <c r="DD205" s="692"/>
      <c r="DE205" s="692"/>
      <c r="DF205" s="692"/>
      <c r="DG205" s="692"/>
      <c r="DH205" s="692"/>
      <c r="DI205" s="692"/>
      <c r="DJ205" s="692"/>
      <c r="DK205" s="692"/>
      <c r="DL205" s="692"/>
      <c r="DM205" s="692"/>
      <c r="DN205" s="692"/>
      <c r="DO205" s="692"/>
      <c r="DP205" s="692"/>
      <c r="DQ205" s="692"/>
      <c r="DR205" s="692"/>
      <c r="DS205" s="692"/>
      <c r="DT205" s="692"/>
      <c r="DU205" s="692"/>
      <c r="DV205" s="692"/>
      <c r="DW205" s="692"/>
      <c r="DX205" s="692"/>
      <c r="DY205" s="692"/>
      <c r="DZ205" s="692"/>
      <c r="EA205" s="692"/>
      <c r="EB205" s="692"/>
      <c r="EC205" s="692"/>
      <c r="ED205" s="692"/>
      <c r="EE205" s="692"/>
      <c r="EF205" s="692"/>
      <c r="EG205" s="692"/>
      <c r="EH205" s="692"/>
      <c r="EI205" s="692"/>
      <c r="EJ205" s="692"/>
      <c r="EK205" s="692"/>
      <c r="EL205" s="692"/>
      <c r="EM205" s="692"/>
      <c r="EN205" s="692"/>
      <c r="EO205" s="692"/>
      <c r="EP205" s="692"/>
      <c r="EQ205" s="692"/>
      <c r="ER205" s="692"/>
      <c r="ES205" s="692"/>
      <c r="ET205" s="692"/>
      <c r="EU205" s="692"/>
      <c r="EV205" s="692"/>
      <c r="EW205" s="692"/>
      <c r="EX205" s="692"/>
      <c r="EY205" s="692"/>
      <c r="EZ205" s="692"/>
      <c r="FA205" s="692"/>
      <c r="FB205" s="692"/>
      <c r="FC205" s="692"/>
      <c r="FD205" s="692"/>
      <c r="FE205" s="692"/>
      <c r="FF205" s="692"/>
      <c r="FG205" s="692"/>
      <c r="FH205" s="692"/>
      <c r="FI205" s="692"/>
      <c r="FJ205" s="692"/>
      <c r="FK205" s="692"/>
      <c r="FL205" s="692"/>
      <c r="FM205" s="692"/>
      <c r="FN205" s="692"/>
      <c r="FO205" s="692"/>
      <c r="FP205" s="692"/>
      <c r="FQ205" s="692"/>
      <c r="FR205" s="692"/>
      <c r="FS205" s="692"/>
      <c r="FT205" s="692"/>
      <c r="FU205" s="692"/>
      <c r="FV205" s="692"/>
      <c r="FW205" s="692"/>
      <c r="FX205" s="692"/>
      <c r="FY205" s="692"/>
      <c r="FZ205" s="692"/>
      <c r="GA205" s="692"/>
      <c r="GB205" s="692"/>
      <c r="GC205" s="692"/>
      <c r="GD205" s="692"/>
      <c r="GE205" s="692"/>
      <c r="GF205" s="692"/>
      <c r="GG205" s="692"/>
      <c r="GH205" s="692"/>
      <c r="GI205" s="692"/>
      <c r="GJ205" s="692"/>
      <c r="GK205" s="692"/>
      <c r="GL205" s="692"/>
      <c r="GM205" s="692"/>
      <c r="GN205" s="692"/>
      <c r="GO205" s="692"/>
      <c r="GP205" s="692"/>
      <c r="GQ205" s="692"/>
      <c r="GR205" s="692"/>
      <c r="GS205" s="692"/>
      <c r="GT205" s="692"/>
      <c r="GU205" s="692"/>
      <c r="GV205" s="692"/>
      <c r="GW205" s="692"/>
      <c r="GX205" s="692"/>
      <c r="GY205" s="692"/>
      <c r="GZ205" s="692"/>
      <c r="HA205" s="692"/>
      <c r="HB205" s="692"/>
      <c r="HC205" s="692"/>
      <c r="HD205" s="692"/>
      <c r="HE205" s="692"/>
      <c r="HF205" s="692"/>
      <c r="HG205" s="692"/>
      <c r="HH205" s="692"/>
      <c r="HI205" s="692"/>
      <c r="HJ205" s="692"/>
      <c r="HK205" s="692"/>
      <c r="HL205" s="692"/>
      <c r="HM205" s="692"/>
      <c r="HN205" s="692"/>
      <c r="HO205" s="692"/>
      <c r="HP205" s="692"/>
      <c r="HQ205" s="692"/>
      <c r="HR205" s="692"/>
      <c r="HS205" s="692"/>
      <c r="HT205" s="692"/>
      <c r="HU205" s="692"/>
      <c r="HV205" s="692"/>
      <c r="HW205" s="692"/>
      <c r="HX205" s="692"/>
      <c r="HY205" s="692"/>
      <c r="HZ205" s="692"/>
      <c r="IA205" s="692"/>
      <c r="IB205" s="692"/>
      <c r="IC205" s="692"/>
      <c r="ID205" s="692"/>
      <c r="IE205" s="692"/>
      <c r="IF205" s="692"/>
      <c r="IG205" s="692"/>
      <c r="IH205" s="692"/>
      <c r="II205" s="692"/>
      <c r="IJ205" s="692"/>
      <c r="IK205" s="692"/>
      <c r="IL205" s="692"/>
      <c r="IM205" s="692"/>
      <c r="IN205" s="692"/>
      <c r="IO205" s="692"/>
      <c r="IP205" s="692"/>
      <c r="IQ205" s="692"/>
      <c r="IR205" s="692"/>
      <c r="IS205" s="692"/>
      <c r="IT205" s="692"/>
      <c r="IU205" s="692"/>
      <c r="IV205" s="692"/>
      <c r="IW205" s="692"/>
      <c r="IX205" s="692"/>
      <c r="IY205" s="692"/>
      <c r="IZ205" s="692"/>
      <c r="JA205" s="692"/>
      <c r="JB205" s="692"/>
      <c r="JC205" s="692"/>
      <c r="JD205" s="692"/>
      <c r="JE205" s="692"/>
      <c r="JF205" s="692"/>
      <c r="JG205" s="692"/>
      <c r="JH205" s="692"/>
      <c r="JI205" s="692"/>
      <c r="JJ205" s="692"/>
      <c r="JK205" s="692"/>
      <c r="JL205" s="692"/>
      <c r="JM205" s="692"/>
      <c r="JN205" s="692"/>
      <c r="JO205" s="692"/>
      <c r="JP205" s="692"/>
      <c r="JQ205" s="692"/>
      <c r="JR205" s="692"/>
      <c r="JS205" s="692"/>
      <c r="JT205" s="692"/>
      <c r="JU205" s="692"/>
      <c r="JV205" s="692"/>
      <c r="JW205" s="692"/>
      <c r="JX205" s="692"/>
      <c r="JY205" s="692"/>
      <c r="JZ205" s="692"/>
      <c r="KA205" s="692"/>
      <c r="KB205" s="692"/>
      <c r="KC205" s="692"/>
      <c r="KD205" s="692"/>
      <c r="KE205" s="692"/>
      <c r="KF205" s="692"/>
      <c r="KG205" s="692"/>
      <c r="KH205" s="692"/>
      <c r="KI205" s="692"/>
      <c r="KJ205" s="692"/>
      <c r="KK205" s="692"/>
      <c r="KL205" s="692"/>
      <c r="KM205" s="692"/>
      <c r="KN205" s="692"/>
      <c r="KO205" s="692"/>
      <c r="KP205" s="692"/>
      <c r="KQ205" s="692"/>
      <c r="KR205" s="692"/>
      <c r="KS205" s="692"/>
      <c r="KT205" s="692"/>
      <c r="KU205" s="692"/>
      <c r="KV205" s="692"/>
      <c r="KW205" s="692"/>
      <c r="KX205" s="692"/>
      <c r="KY205" s="692"/>
      <c r="KZ205" s="692"/>
      <c r="LA205" s="692"/>
      <c r="LB205" s="692"/>
      <c r="LC205" s="692"/>
      <c r="LD205" s="692"/>
      <c r="LE205" s="692"/>
      <c r="LF205" s="692"/>
      <c r="LG205" s="692"/>
      <c r="LH205" s="692"/>
      <c r="LI205" s="692"/>
      <c r="LJ205" s="692"/>
      <c r="LK205" s="692"/>
      <c r="LL205" s="692"/>
      <c r="LM205" s="692"/>
      <c r="LN205" s="692"/>
      <c r="LO205" s="692"/>
      <c r="LP205" s="692"/>
      <c r="LQ205" s="692"/>
      <c r="LR205" s="692"/>
      <c r="LS205" s="692"/>
      <c r="LT205" s="692"/>
      <c r="LU205" s="692"/>
      <c r="LV205" s="692"/>
      <c r="LW205" s="692"/>
      <c r="LX205" s="692"/>
      <c r="LY205" s="692"/>
      <c r="LZ205" s="692"/>
      <c r="MA205" s="692"/>
      <c r="MB205" s="692"/>
      <c r="MC205" s="692"/>
      <c r="MD205" s="692"/>
      <c r="ME205" s="692"/>
      <c r="MF205" s="692"/>
      <c r="MG205" s="692"/>
      <c r="MH205" s="692"/>
      <c r="MI205" s="692"/>
      <c r="MJ205" s="692"/>
      <c r="MK205" s="692"/>
      <c r="ML205" s="692"/>
      <c r="MM205" s="692"/>
      <c r="MN205" s="692"/>
      <c r="MO205" s="692"/>
      <c r="MP205" s="692"/>
      <c r="MQ205" s="692"/>
      <c r="MR205" s="692"/>
      <c r="MS205" s="692"/>
      <c r="MT205" s="692"/>
      <c r="MU205" s="692"/>
      <c r="MV205" s="692"/>
      <c r="MW205" s="692"/>
      <c r="MX205" s="692"/>
      <c r="MY205" s="692"/>
      <c r="MZ205" s="692"/>
      <c r="NA205" s="692"/>
      <c r="NB205" s="692"/>
      <c r="NC205" s="692"/>
      <c r="ND205" s="692"/>
      <c r="NE205" s="692"/>
      <c r="NF205" s="692"/>
      <c r="NG205" s="692"/>
      <c r="NH205" s="692"/>
      <c r="NI205" s="692"/>
      <c r="NJ205" s="692"/>
      <c r="NK205" s="692"/>
      <c r="NL205" s="692"/>
      <c r="NM205" s="692"/>
      <c r="NN205" s="692"/>
      <c r="NO205" s="692"/>
    </row>
    <row r="206" spans="1:379" ht="15.75" thickBot="1" x14ac:dyDescent="0.3">
      <c r="A206" s="679"/>
      <c r="B206" s="107"/>
      <c r="C206" s="114"/>
      <c r="D206" s="680"/>
      <c r="E206" s="679"/>
      <c r="F206" s="207"/>
      <c r="G206" s="692"/>
      <c r="H206" s="692"/>
      <c r="I206" s="692"/>
      <c r="J206" s="692"/>
      <c r="K206" s="692"/>
      <c r="L206" s="692"/>
      <c r="M206" s="692"/>
      <c r="N206" s="692"/>
      <c r="O206" s="692"/>
      <c r="P206" s="692"/>
      <c r="Q206" s="692"/>
      <c r="R206" s="692"/>
      <c r="S206" s="692"/>
      <c r="T206" s="692"/>
      <c r="U206" s="692"/>
      <c r="V206" s="692"/>
      <c r="W206" s="692"/>
      <c r="X206" s="692"/>
      <c r="Y206" s="692"/>
      <c r="Z206" s="692"/>
      <c r="AA206" s="692"/>
      <c r="AB206" s="692"/>
      <c r="AC206" s="692"/>
      <c r="AD206" s="692"/>
      <c r="AE206" s="692"/>
      <c r="AF206" s="692"/>
      <c r="AG206" s="692"/>
      <c r="AH206" s="692"/>
      <c r="AI206" s="692"/>
      <c r="AJ206" s="692"/>
      <c r="AK206" s="692"/>
      <c r="AL206" s="692"/>
      <c r="AM206" s="692"/>
      <c r="AN206" s="692"/>
      <c r="AO206" s="692"/>
      <c r="AP206" s="692"/>
      <c r="AQ206" s="692"/>
      <c r="AR206" s="692"/>
      <c r="AS206" s="692"/>
      <c r="AT206" s="692"/>
      <c r="AU206" s="692"/>
      <c r="AV206" s="692"/>
      <c r="AW206" s="692"/>
      <c r="AX206" s="692"/>
      <c r="AY206" s="692"/>
      <c r="AZ206" s="692"/>
      <c r="BA206" s="692"/>
      <c r="BB206" s="692"/>
      <c r="BC206" s="692"/>
      <c r="BD206" s="692"/>
      <c r="BE206" s="692"/>
      <c r="BF206" s="692"/>
      <c r="BG206" s="692"/>
      <c r="BH206" s="692"/>
      <c r="BI206" s="692"/>
      <c r="BJ206" s="692"/>
      <c r="BK206" s="692"/>
      <c r="BL206" s="692"/>
      <c r="BM206" s="692"/>
      <c r="BN206" s="692"/>
      <c r="BO206" s="692"/>
      <c r="BP206" s="692"/>
      <c r="BQ206" s="692"/>
      <c r="BR206" s="692"/>
      <c r="BS206" s="692"/>
      <c r="BT206" s="692"/>
      <c r="BU206" s="692"/>
      <c r="BV206" s="692"/>
      <c r="BW206" s="692"/>
      <c r="BX206" s="692"/>
      <c r="BY206" s="692"/>
      <c r="BZ206" s="692"/>
      <c r="CA206" s="692"/>
      <c r="CB206" s="692"/>
      <c r="CC206" s="692"/>
      <c r="CD206" s="692"/>
      <c r="CE206" s="692"/>
      <c r="CF206" s="692"/>
      <c r="CG206" s="692"/>
      <c r="CH206" s="692"/>
      <c r="CI206" s="692"/>
      <c r="CJ206" s="692"/>
      <c r="CK206" s="692"/>
      <c r="CL206" s="692"/>
      <c r="CM206" s="692"/>
      <c r="CN206" s="692"/>
      <c r="CO206" s="692"/>
      <c r="CP206" s="692"/>
      <c r="CQ206" s="692"/>
      <c r="CR206" s="692"/>
      <c r="CS206" s="692"/>
      <c r="CT206" s="692"/>
      <c r="CU206" s="692"/>
      <c r="CV206" s="692"/>
      <c r="CW206" s="692"/>
      <c r="CX206" s="692"/>
      <c r="CY206" s="692"/>
      <c r="CZ206" s="692"/>
      <c r="DA206" s="692"/>
      <c r="DB206" s="692"/>
      <c r="DC206" s="692"/>
      <c r="DD206" s="692"/>
      <c r="DE206" s="692"/>
      <c r="DF206" s="692"/>
      <c r="DG206" s="692"/>
      <c r="DH206" s="692"/>
      <c r="DI206" s="692"/>
      <c r="DJ206" s="692"/>
      <c r="DK206" s="692"/>
      <c r="DL206" s="692"/>
      <c r="DM206" s="692"/>
      <c r="DN206" s="692"/>
      <c r="DO206" s="692"/>
      <c r="DP206" s="692"/>
      <c r="DQ206" s="692"/>
      <c r="DR206" s="692"/>
      <c r="DS206" s="692"/>
      <c r="DT206" s="692"/>
      <c r="DU206" s="692"/>
      <c r="DV206" s="692"/>
      <c r="DW206" s="692"/>
      <c r="DX206" s="692"/>
      <c r="DY206" s="692"/>
      <c r="DZ206" s="692"/>
      <c r="EA206" s="692"/>
      <c r="EB206" s="692"/>
      <c r="EC206" s="692"/>
      <c r="ED206" s="692"/>
      <c r="EE206" s="692"/>
      <c r="EF206" s="692"/>
      <c r="EG206" s="692"/>
      <c r="EH206" s="692"/>
      <c r="EI206" s="692"/>
      <c r="EJ206" s="692"/>
      <c r="EK206" s="692"/>
      <c r="EL206" s="692"/>
      <c r="EM206" s="692"/>
      <c r="EN206" s="692"/>
      <c r="EO206" s="692"/>
      <c r="EP206" s="692"/>
      <c r="EQ206" s="692"/>
      <c r="ER206" s="692"/>
      <c r="ES206" s="692"/>
      <c r="ET206" s="692"/>
      <c r="EU206" s="692"/>
      <c r="EV206" s="692"/>
      <c r="EW206" s="692"/>
      <c r="EX206" s="692"/>
      <c r="EY206" s="692"/>
      <c r="EZ206" s="692"/>
      <c r="FA206" s="692"/>
      <c r="FB206" s="692"/>
      <c r="FC206" s="692"/>
      <c r="FD206" s="692"/>
      <c r="FE206" s="692"/>
      <c r="FF206" s="692"/>
      <c r="FG206" s="692"/>
      <c r="FH206" s="692"/>
      <c r="FI206" s="692"/>
      <c r="FJ206" s="692"/>
      <c r="FK206" s="692"/>
      <c r="FL206" s="692"/>
      <c r="FM206" s="692"/>
      <c r="FN206" s="692"/>
      <c r="FO206" s="692"/>
      <c r="FP206" s="692"/>
      <c r="FQ206" s="692"/>
      <c r="FR206" s="692"/>
      <c r="FS206" s="692"/>
      <c r="FT206" s="692"/>
      <c r="FU206" s="692"/>
      <c r="FV206" s="692"/>
      <c r="FW206" s="692"/>
      <c r="FX206" s="692"/>
      <c r="FY206" s="692"/>
      <c r="FZ206" s="692"/>
      <c r="GA206" s="692"/>
      <c r="GB206" s="692"/>
      <c r="GC206" s="692"/>
      <c r="GD206" s="692"/>
      <c r="GE206" s="692"/>
      <c r="GF206" s="692"/>
      <c r="GG206" s="692"/>
      <c r="GH206" s="692"/>
      <c r="GI206" s="692"/>
      <c r="GJ206" s="692"/>
      <c r="GK206" s="692"/>
      <c r="GL206" s="692"/>
      <c r="GM206" s="692"/>
      <c r="GN206" s="692"/>
      <c r="GO206" s="692"/>
      <c r="GP206" s="692"/>
      <c r="GQ206" s="692"/>
      <c r="GR206" s="692"/>
      <c r="GS206" s="692"/>
      <c r="GT206" s="692"/>
      <c r="GU206" s="692"/>
      <c r="GV206" s="692"/>
      <c r="GW206" s="692"/>
      <c r="GX206" s="692"/>
      <c r="GY206" s="692"/>
      <c r="GZ206" s="692"/>
      <c r="HA206" s="692"/>
      <c r="HB206" s="692"/>
      <c r="HC206" s="692"/>
      <c r="HD206" s="692"/>
      <c r="HE206" s="692"/>
      <c r="HF206" s="692"/>
      <c r="HG206" s="692"/>
      <c r="HH206" s="692"/>
      <c r="HI206" s="692"/>
      <c r="HJ206" s="692"/>
      <c r="HK206" s="692"/>
      <c r="HL206" s="692"/>
      <c r="HM206" s="692"/>
      <c r="HN206" s="692"/>
      <c r="HO206" s="692"/>
      <c r="HP206" s="692"/>
      <c r="HQ206" s="692"/>
      <c r="HR206" s="692"/>
      <c r="HS206" s="692"/>
      <c r="HT206" s="692"/>
      <c r="HU206" s="692"/>
      <c r="HV206" s="692"/>
      <c r="HW206" s="692"/>
      <c r="HX206" s="692"/>
      <c r="HY206" s="692"/>
      <c r="HZ206" s="692"/>
      <c r="IA206" s="692"/>
      <c r="IB206" s="692"/>
      <c r="IC206" s="692"/>
      <c r="ID206" s="692"/>
      <c r="IE206" s="692"/>
      <c r="IF206" s="692"/>
      <c r="IG206" s="692"/>
      <c r="IH206" s="692"/>
      <c r="II206" s="692"/>
      <c r="IJ206" s="692"/>
      <c r="IK206" s="692"/>
      <c r="IL206" s="692"/>
      <c r="IM206" s="692"/>
      <c r="IN206" s="692"/>
      <c r="IO206" s="692"/>
      <c r="IP206" s="692"/>
      <c r="IQ206" s="692"/>
      <c r="IR206" s="692"/>
      <c r="IS206" s="692"/>
      <c r="IT206" s="692"/>
      <c r="IU206" s="692"/>
      <c r="IV206" s="692"/>
      <c r="IW206" s="692"/>
      <c r="IX206" s="692"/>
      <c r="IY206" s="692"/>
      <c r="IZ206" s="692"/>
      <c r="JA206" s="692"/>
      <c r="JB206" s="692"/>
      <c r="JC206" s="692"/>
      <c r="JD206" s="692"/>
      <c r="JE206" s="692"/>
      <c r="JF206" s="692"/>
      <c r="JG206" s="692"/>
      <c r="JH206" s="692"/>
      <c r="JI206" s="692"/>
      <c r="JJ206" s="692"/>
      <c r="JK206" s="692"/>
      <c r="JL206" s="692"/>
      <c r="JM206" s="692"/>
      <c r="JN206" s="692"/>
      <c r="JO206" s="692"/>
      <c r="JP206" s="692"/>
      <c r="JQ206" s="692"/>
      <c r="JR206" s="692"/>
      <c r="JS206" s="692"/>
      <c r="JT206" s="692"/>
      <c r="JU206" s="692"/>
      <c r="JV206" s="692"/>
      <c r="JW206" s="692"/>
      <c r="JX206" s="692"/>
      <c r="JY206" s="692"/>
      <c r="JZ206" s="692"/>
      <c r="KA206" s="692"/>
      <c r="KB206" s="692"/>
      <c r="KC206" s="692"/>
      <c r="KD206" s="692"/>
      <c r="KE206" s="692"/>
      <c r="KF206" s="692"/>
      <c r="KG206" s="692"/>
      <c r="KH206" s="692"/>
      <c r="KI206" s="692"/>
      <c r="KJ206" s="692"/>
      <c r="KK206" s="692"/>
      <c r="KL206" s="692"/>
      <c r="KM206" s="692"/>
      <c r="KN206" s="692"/>
      <c r="KO206" s="692"/>
      <c r="KP206" s="692"/>
      <c r="KQ206" s="692"/>
      <c r="KR206" s="692"/>
      <c r="KS206" s="692"/>
      <c r="KT206" s="692"/>
      <c r="KU206" s="692"/>
      <c r="KV206" s="692"/>
      <c r="KW206" s="692"/>
      <c r="KX206" s="692"/>
      <c r="KY206" s="692"/>
      <c r="KZ206" s="692"/>
      <c r="LA206" s="692"/>
      <c r="LB206" s="692"/>
      <c r="LC206" s="692"/>
      <c r="LD206" s="692"/>
      <c r="LE206" s="692"/>
      <c r="LF206" s="692"/>
      <c r="LG206" s="692"/>
      <c r="LH206" s="692"/>
      <c r="LI206" s="692"/>
      <c r="LJ206" s="692"/>
      <c r="LK206" s="692"/>
      <c r="LL206" s="692"/>
      <c r="LM206" s="692"/>
      <c r="LN206" s="692"/>
      <c r="LO206" s="692"/>
      <c r="LP206" s="692"/>
      <c r="LQ206" s="692"/>
      <c r="LR206" s="692"/>
      <c r="LS206" s="692"/>
      <c r="LT206" s="692"/>
      <c r="LU206" s="692"/>
      <c r="LV206" s="692"/>
      <c r="LW206" s="692"/>
      <c r="LX206" s="692"/>
      <c r="LY206" s="692"/>
      <c r="LZ206" s="692"/>
      <c r="MA206" s="692"/>
      <c r="MB206" s="692"/>
      <c r="MC206" s="692"/>
      <c r="MD206" s="692"/>
      <c r="ME206" s="692"/>
      <c r="MF206" s="692"/>
      <c r="MG206" s="692"/>
      <c r="MH206" s="692"/>
      <c r="MI206" s="692"/>
      <c r="MJ206" s="692"/>
      <c r="MK206" s="692"/>
      <c r="ML206" s="692"/>
      <c r="MM206" s="692"/>
      <c r="MN206" s="692"/>
      <c r="MO206" s="692"/>
      <c r="MP206" s="692"/>
      <c r="MQ206" s="692"/>
      <c r="MR206" s="692"/>
      <c r="MS206" s="692"/>
      <c r="MT206" s="692"/>
      <c r="MU206" s="692"/>
      <c r="MV206" s="692"/>
      <c r="MW206" s="692"/>
      <c r="MX206" s="692"/>
      <c r="MY206" s="692"/>
      <c r="MZ206" s="692"/>
      <c r="NA206" s="692"/>
      <c r="NB206" s="692"/>
      <c r="NC206" s="692"/>
      <c r="ND206" s="692"/>
      <c r="NE206" s="692"/>
      <c r="NF206" s="692"/>
      <c r="NG206" s="692"/>
      <c r="NH206" s="692"/>
      <c r="NI206" s="692"/>
      <c r="NJ206" s="692"/>
      <c r="NK206" s="692"/>
      <c r="NL206" s="692"/>
      <c r="NM206" s="692"/>
      <c r="NN206" s="692"/>
      <c r="NO206" s="692"/>
    </row>
    <row r="207" spans="1:379" ht="15.75" thickBot="1" x14ac:dyDescent="0.3">
      <c r="A207" s="166"/>
      <c r="B207" s="107" t="s">
        <v>1042</v>
      </c>
      <c r="C207" s="547">
        <f>'Input Data'!E295</f>
        <v>0</v>
      </c>
      <c r="D207" s="107" t="s">
        <v>1043</v>
      </c>
      <c r="E207" s="166"/>
      <c r="F207" s="212"/>
      <c r="G207" s="692"/>
      <c r="H207" s="692"/>
      <c r="I207" s="692"/>
      <c r="J207" s="692"/>
      <c r="K207" s="692"/>
      <c r="L207" s="692"/>
      <c r="M207" s="692"/>
      <c r="N207" s="692"/>
      <c r="O207" s="692"/>
      <c r="P207" s="692"/>
      <c r="Q207" s="692"/>
      <c r="R207" s="692"/>
      <c r="S207" s="692"/>
      <c r="T207" s="692"/>
      <c r="U207" s="692"/>
      <c r="V207" s="692"/>
      <c r="W207" s="692"/>
      <c r="X207" s="692"/>
      <c r="Y207" s="692"/>
      <c r="Z207" s="692"/>
      <c r="AA207" s="692"/>
      <c r="AB207" s="692"/>
      <c r="AC207" s="692"/>
      <c r="AD207" s="692"/>
      <c r="AE207" s="692"/>
      <c r="AF207" s="692"/>
      <c r="AG207" s="692"/>
      <c r="AH207" s="692"/>
      <c r="AI207" s="692"/>
      <c r="AJ207" s="692"/>
      <c r="AK207" s="692"/>
      <c r="AL207" s="692"/>
      <c r="AM207" s="692"/>
      <c r="AN207" s="692"/>
      <c r="AO207" s="692"/>
      <c r="AP207" s="692"/>
      <c r="AQ207" s="692"/>
      <c r="AR207" s="692"/>
      <c r="AS207" s="692"/>
      <c r="AT207" s="692"/>
      <c r="AU207" s="692"/>
      <c r="AV207" s="692"/>
      <c r="AW207" s="692"/>
      <c r="AX207" s="692"/>
      <c r="AY207" s="692"/>
      <c r="AZ207" s="692"/>
      <c r="BA207" s="692"/>
      <c r="BB207" s="692"/>
      <c r="BC207" s="692"/>
      <c r="BD207" s="692"/>
      <c r="BE207" s="692"/>
      <c r="BF207" s="692"/>
      <c r="BG207" s="692"/>
      <c r="BH207" s="692"/>
      <c r="BI207" s="692"/>
      <c r="BJ207" s="692"/>
      <c r="BK207" s="692"/>
      <c r="BL207" s="692"/>
      <c r="BM207" s="692"/>
      <c r="BN207" s="692"/>
      <c r="BO207" s="692"/>
      <c r="BP207" s="692"/>
      <c r="BQ207" s="692"/>
      <c r="BR207" s="692"/>
      <c r="BS207" s="692"/>
      <c r="BT207" s="692"/>
      <c r="BU207" s="692"/>
      <c r="BV207" s="692"/>
      <c r="BW207" s="692"/>
      <c r="BX207" s="692"/>
      <c r="BY207" s="692"/>
      <c r="BZ207" s="692"/>
      <c r="CA207" s="692"/>
      <c r="CB207" s="692"/>
      <c r="CC207" s="692"/>
      <c r="CD207" s="692"/>
      <c r="CE207" s="692"/>
      <c r="CF207" s="692"/>
      <c r="CG207" s="692"/>
      <c r="CH207" s="692"/>
      <c r="CI207" s="692"/>
      <c r="CJ207" s="692"/>
      <c r="CK207" s="692"/>
      <c r="CL207" s="692"/>
      <c r="CM207" s="692"/>
      <c r="CN207" s="692"/>
      <c r="CO207" s="692"/>
      <c r="CP207" s="692"/>
      <c r="CQ207" s="692"/>
      <c r="CR207" s="692"/>
      <c r="CS207" s="692"/>
      <c r="CT207" s="692"/>
      <c r="CU207" s="692"/>
      <c r="CV207" s="692"/>
      <c r="CW207" s="692"/>
      <c r="CX207" s="692"/>
      <c r="CY207" s="692"/>
      <c r="CZ207" s="692"/>
      <c r="DA207" s="692"/>
      <c r="DB207" s="692"/>
      <c r="DC207" s="692"/>
      <c r="DD207" s="692"/>
      <c r="DE207" s="692"/>
      <c r="DF207" s="692"/>
      <c r="DG207" s="692"/>
      <c r="DH207" s="692"/>
      <c r="DI207" s="692"/>
      <c r="DJ207" s="692"/>
      <c r="DK207" s="692"/>
      <c r="DL207" s="692"/>
      <c r="DM207" s="692"/>
      <c r="DN207" s="692"/>
      <c r="DO207" s="692"/>
      <c r="DP207" s="692"/>
      <c r="DQ207" s="692"/>
      <c r="DR207" s="692"/>
      <c r="DS207" s="692"/>
      <c r="DT207" s="692"/>
      <c r="DU207" s="692"/>
      <c r="DV207" s="692"/>
      <c r="DW207" s="692"/>
      <c r="DX207" s="692"/>
      <c r="DY207" s="692"/>
      <c r="DZ207" s="692"/>
      <c r="EA207" s="692"/>
      <c r="EB207" s="692"/>
      <c r="EC207" s="692"/>
      <c r="ED207" s="692"/>
      <c r="EE207" s="692"/>
      <c r="EF207" s="692"/>
      <c r="EG207" s="692"/>
      <c r="EH207" s="692"/>
      <c r="EI207" s="692"/>
      <c r="EJ207" s="692"/>
      <c r="EK207" s="692"/>
      <c r="EL207" s="692"/>
      <c r="EM207" s="692"/>
      <c r="EN207" s="692"/>
      <c r="EO207" s="692"/>
      <c r="EP207" s="692"/>
      <c r="EQ207" s="692"/>
      <c r="ER207" s="692"/>
      <c r="ES207" s="692"/>
      <c r="ET207" s="692"/>
      <c r="EU207" s="692"/>
      <c r="EV207" s="692"/>
      <c r="EW207" s="692"/>
      <c r="EX207" s="692"/>
      <c r="EY207" s="692"/>
      <c r="EZ207" s="692"/>
      <c r="FA207" s="692"/>
      <c r="FB207" s="692"/>
      <c r="FC207" s="692"/>
      <c r="FD207" s="692"/>
      <c r="FE207" s="692"/>
      <c r="FF207" s="692"/>
      <c r="FG207" s="692"/>
      <c r="FH207" s="692"/>
      <c r="FI207" s="692"/>
      <c r="FJ207" s="692"/>
      <c r="FK207" s="692"/>
      <c r="FL207" s="692"/>
      <c r="FM207" s="692"/>
      <c r="FN207" s="692"/>
      <c r="FO207" s="692"/>
      <c r="FP207" s="692"/>
      <c r="FQ207" s="692"/>
      <c r="FR207" s="692"/>
      <c r="FS207" s="692"/>
      <c r="FT207" s="692"/>
      <c r="FU207" s="692"/>
      <c r="FV207" s="692"/>
      <c r="FW207" s="692"/>
      <c r="FX207" s="692"/>
      <c r="FY207" s="692"/>
      <c r="FZ207" s="692"/>
      <c r="GA207" s="692"/>
      <c r="GB207" s="692"/>
      <c r="GC207" s="692"/>
      <c r="GD207" s="692"/>
      <c r="GE207" s="692"/>
      <c r="GF207" s="692"/>
      <c r="GG207" s="692"/>
      <c r="GH207" s="692"/>
      <c r="GI207" s="692"/>
      <c r="GJ207" s="692"/>
      <c r="GK207" s="692"/>
      <c r="GL207" s="692"/>
      <c r="GM207" s="692"/>
      <c r="GN207" s="692"/>
      <c r="GO207" s="692"/>
      <c r="GP207" s="692"/>
      <c r="GQ207" s="692"/>
      <c r="GR207" s="692"/>
      <c r="GS207" s="692"/>
      <c r="GT207" s="692"/>
      <c r="GU207" s="692"/>
      <c r="GV207" s="692"/>
      <c r="GW207" s="692"/>
      <c r="GX207" s="692"/>
      <c r="GY207" s="692"/>
      <c r="GZ207" s="692"/>
      <c r="HA207" s="692"/>
      <c r="HB207" s="692"/>
      <c r="HC207" s="692"/>
      <c r="HD207" s="692"/>
      <c r="HE207" s="692"/>
      <c r="HF207" s="692"/>
      <c r="HG207" s="692"/>
      <c r="HH207" s="692"/>
      <c r="HI207" s="692"/>
      <c r="HJ207" s="692"/>
      <c r="HK207" s="692"/>
      <c r="HL207" s="692"/>
      <c r="HM207" s="692"/>
      <c r="HN207" s="692"/>
      <c r="HO207" s="692"/>
      <c r="HP207" s="692"/>
      <c r="HQ207" s="692"/>
      <c r="HR207" s="692"/>
      <c r="HS207" s="692"/>
      <c r="HT207" s="692"/>
      <c r="HU207" s="692"/>
      <c r="HV207" s="692"/>
      <c r="HW207" s="692"/>
      <c r="HX207" s="692"/>
      <c r="HY207" s="692"/>
      <c r="HZ207" s="692"/>
      <c r="IA207" s="692"/>
      <c r="IB207" s="692"/>
      <c r="IC207" s="692"/>
      <c r="ID207" s="692"/>
      <c r="IE207" s="692"/>
      <c r="IF207" s="692"/>
      <c r="IG207" s="692"/>
      <c r="IH207" s="692"/>
      <c r="II207" s="692"/>
      <c r="IJ207" s="692"/>
      <c r="IK207" s="692"/>
      <c r="IL207" s="692"/>
      <c r="IM207" s="692"/>
      <c r="IN207" s="692"/>
      <c r="IO207" s="692"/>
      <c r="IP207" s="692"/>
      <c r="IQ207" s="692"/>
      <c r="IR207" s="692"/>
      <c r="IS207" s="692"/>
      <c r="IT207" s="692"/>
      <c r="IU207" s="692"/>
      <c r="IV207" s="692"/>
      <c r="IW207" s="692"/>
      <c r="IX207" s="692"/>
      <c r="IY207" s="692"/>
      <c r="IZ207" s="692"/>
      <c r="JA207" s="692"/>
      <c r="JB207" s="692"/>
      <c r="JC207" s="692"/>
      <c r="JD207" s="692"/>
      <c r="JE207" s="692"/>
      <c r="JF207" s="692"/>
      <c r="JG207" s="692"/>
      <c r="JH207" s="692"/>
      <c r="JI207" s="692"/>
      <c r="JJ207" s="692"/>
      <c r="JK207" s="692"/>
      <c r="JL207" s="692"/>
      <c r="JM207" s="692"/>
      <c r="JN207" s="692"/>
      <c r="JO207" s="692"/>
      <c r="JP207" s="692"/>
      <c r="JQ207" s="692"/>
      <c r="JR207" s="692"/>
      <c r="JS207" s="692"/>
      <c r="JT207" s="692"/>
      <c r="JU207" s="692"/>
      <c r="JV207" s="692"/>
      <c r="JW207" s="692"/>
      <c r="JX207" s="692"/>
      <c r="JY207" s="692"/>
      <c r="JZ207" s="692"/>
      <c r="KA207" s="692"/>
      <c r="KB207" s="692"/>
      <c r="KC207" s="692"/>
      <c r="KD207" s="692"/>
      <c r="KE207" s="692"/>
      <c r="KF207" s="692"/>
      <c r="KG207" s="692"/>
      <c r="KH207" s="692"/>
      <c r="KI207" s="692"/>
      <c r="KJ207" s="692"/>
      <c r="KK207" s="692"/>
      <c r="KL207" s="692"/>
      <c r="KM207" s="692"/>
      <c r="KN207" s="692"/>
      <c r="KO207" s="692"/>
      <c r="KP207" s="692"/>
      <c r="KQ207" s="692"/>
      <c r="KR207" s="692"/>
      <c r="KS207" s="692"/>
      <c r="KT207" s="692"/>
      <c r="KU207" s="692"/>
      <c r="KV207" s="692"/>
      <c r="KW207" s="692"/>
      <c r="KX207" s="692"/>
      <c r="KY207" s="692"/>
      <c r="KZ207" s="692"/>
      <c r="LA207" s="692"/>
      <c r="LB207" s="692"/>
      <c r="LC207" s="692"/>
      <c r="LD207" s="692"/>
      <c r="LE207" s="692"/>
      <c r="LF207" s="692"/>
      <c r="LG207" s="692"/>
      <c r="LH207" s="692"/>
      <c r="LI207" s="692"/>
      <c r="LJ207" s="692"/>
      <c r="LK207" s="692"/>
      <c r="LL207" s="692"/>
      <c r="LM207" s="692"/>
      <c r="LN207" s="692"/>
      <c r="LO207" s="692"/>
      <c r="LP207" s="692"/>
      <c r="LQ207" s="692"/>
      <c r="LR207" s="692"/>
      <c r="LS207" s="692"/>
      <c r="LT207" s="692"/>
      <c r="LU207" s="692"/>
      <c r="LV207" s="692"/>
      <c r="LW207" s="692"/>
      <c r="LX207" s="692"/>
      <c r="LY207" s="692"/>
      <c r="LZ207" s="692"/>
      <c r="MA207" s="692"/>
      <c r="MB207" s="692"/>
      <c r="MC207" s="692"/>
      <c r="MD207" s="692"/>
      <c r="ME207" s="692"/>
      <c r="MF207" s="692"/>
      <c r="MG207" s="692"/>
      <c r="MH207" s="692"/>
      <c r="MI207" s="692"/>
      <c r="MJ207" s="692"/>
      <c r="MK207" s="692"/>
      <c r="ML207" s="692"/>
      <c r="MM207" s="692"/>
      <c r="MN207" s="692"/>
      <c r="MO207" s="692"/>
      <c r="MP207" s="692"/>
      <c r="MQ207" s="692"/>
      <c r="MR207" s="692"/>
      <c r="MS207" s="692"/>
      <c r="MT207" s="692"/>
      <c r="MU207" s="692"/>
      <c r="MV207" s="692"/>
      <c r="MW207" s="692"/>
      <c r="MX207" s="692"/>
      <c r="MY207" s="692"/>
      <c r="MZ207" s="692"/>
      <c r="NA207" s="692"/>
      <c r="NB207" s="692"/>
      <c r="NC207" s="692"/>
      <c r="ND207" s="692"/>
      <c r="NE207" s="692"/>
      <c r="NF207" s="692"/>
      <c r="NG207" s="692"/>
      <c r="NH207" s="692"/>
      <c r="NI207" s="692"/>
      <c r="NJ207" s="692"/>
      <c r="NK207" s="692"/>
      <c r="NL207" s="692"/>
      <c r="NM207" s="692"/>
      <c r="NN207" s="692"/>
      <c r="NO207" s="692"/>
    </row>
    <row r="208" spans="1:379" x14ac:dyDescent="0.25">
      <c r="A208" s="679"/>
      <c r="B208" s="679" t="s">
        <v>1321</v>
      </c>
      <c r="C208" s="425">
        <f>'Input Data'!E15</f>
        <v>0</v>
      </c>
      <c r="D208" s="680" t="s">
        <v>367</v>
      </c>
      <c r="E208" s="679"/>
      <c r="F208" s="202"/>
      <c r="G208" s="692"/>
      <c r="H208" s="692"/>
      <c r="I208" s="692"/>
      <c r="J208" s="692"/>
      <c r="K208" s="692"/>
      <c r="L208" s="692"/>
      <c r="M208" s="692"/>
      <c r="N208" s="692"/>
      <c r="O208" s="692"/>
      <c r="P208" s="692"/>
      <c r="Q208" s="692"/>
      <c r="R208" s="692"/>
      <c r="S208" s="692"/>
      <c r="T208" s="692"/>
      <c r="U208" s="692"/>
      <c r="V208" s="692"/>
      <c r="W208" s="692"/>
      <c r="X208" s="692"/>
      <c r="Y208" s="692"/>
      <c r="Z208" s="692"/>
      <c r="AA208" s="692"/>
      <c r="AB208" s="692"/>
      <c r="AC208" s="692"/>
      <c r="AD208" s="692"/>
      <c r="AE208" s="692"/>
      <c r="AF208" s="692"/>
      <c r="AG208" s="692"/>
      <c r="AH208" s="692"/>
      <c r="AI208" s="692"/>
      <c r="AJ208" s="692"/>
      <c r="AK208" s="692"/>
      <c r="AL208" s="692"/>
      <c r="AM208" s="692"/>
      <c r="AN208" s="692"/>
      <c r="AO208" s="692"/>
      <c r="AP208" s="692"/>
      <c r="AQ208" s="692"/>
      <c r="AR208" s="692"/>
      <c r="AS208" s="692"/>
      <c r="AT208" s="692"/>
      <c r="AU208" s="692"/>
      <c r="AV208" s="692"/>
      <c r="AW208" s="692"/>
      <c r="AX208" s="692"/>
      <c r="AY208" s="692"/>
      <c r="AZ208" s="692"/>
      <c r="BA208" s="692"/>
      <c r="BB208" s="692"/>
      <c r="BC208" s="692"/>
      <c r="BD208" s="692"/>
      <c r="BE208" s="692"/>
      <c r="BF208" s="692"/>
      <c r="BG208" s="692"/>
      <c r="BH208" s="692"/>
      <c r="BI208" s="692"/>
      <c r="BJ208" s="692"/>
      <c r="BK208" s="692"/>
      <c r="BL208" s="692"/>
      <c r="BM208" s="692"/>
      <c r="BN208" s="692"/>
      <c r="BO208" s="692"/>
      <c r="BP208" s="692"/>
      <c r="BQ208" s="692"/>
      <c r="BR208" s="692"/>
      <c r="BS208" s="692"/>
      <c r="BT208" s="692"/>
      <c r="BU208" s="692"/>
      <c r="BV208" s="692"/>
      <c r="BW208" s="692"/>
      <c r="BX208" s="692"/>
      <c r="BY208" s="692"/>
      <c r="BZ208" s="692"/>
      <c r="CA208" s="692"/>
      <c r="CB208" s="692"/>
      <c r="CC208" s="692"/>
      <c r="CD208" s="692"/>
      <c r="CE208" s="692"/>
      <c r="CF208" s="692"/>
      <c r="CG208" s="692"/>
      <c r="CH208" s="692"/>
      <c r="CI208" s="692"/>
      <c r="CJ208" s="692"/>
      <c r="CK208" s="692"/>
      <c r="CL208" s="692"/>
      <c r="CM208" s="692"/>
      <c r="CN208" s="692"/>
      <c r="CO208" s="692"/>
      <c r="CP208" s="692"/>
      <c r="CQ208" s="692"/>
      <c r="CR208" s="692"/>
      <c r="CS208" s="692"/>
      <c r="CT208" s="692"/>
      <c r="CU208" s="692"/>
      <c r="CV208" s="692"/>
      <c r="CW208" s="692"/>
      <c r="CX208" s="692"/>
      <c r="CY208" s="692"/>
      <c r="CZ208" s="692"/>
      <c r="DA208" s="692"/>
      <c r="DB208" s="692"/>
      <c r="DC208" s="692"/>
      <c r="DD208" s="692"/>
      <c r="DE208" s="692"/>
      <c r="DF208" s="692"/>
      <c r="DG208" s="692"/>
      <c r="DH208" s="692"/>
      <c r="DI208" s="692"/>
      <c r="DJ208" s="692"/>
      <c r="DK208" s="692"/>
      <c r="DL208" s="692"/>
      <c r="DM208" s="692"/>
      <c r="DN208" s="692"/>
      <c r="DO208" s="692"/>
      <c r="DP208" s="692"/>
      <c r="DQ208" s="692"/>
      <c r="DR208" s="692"/>
      <c r="DS208" s="692"/>
      <c r="DT208" s="692"/>
      <c r="DU208" s="692"/>
      <c r="DV208" s="692"/>
      <c r="DW208" s="692"/>
      <c r="DX208" s="692"/>
      <c r="DY208" s="692"/>
      <c r="DZ208" s="692"/>
      <c r="EA208" s="692"/>
      <c r="EB208" s="692"/>
      <c r="EC208" s="692"/>
      <c r="ED208" s="692"/>
      <c r="EE208" s="692"/>
      <c r="EF208" s="692"/>
      <c r="EG208" s="692"/>
      <c r="EH208" s="692"/>
      <c r="EI208" s="692"/>
      <c r="EJ208" s="692"/>
      <c r="EK208" s="692"/>
      <c r="EL208" s="692"/>
      <c r="EM208" s="692"/>
      <c r="EN208" s="692"/>
      <c r="EO208" s="692"/>
      <c r="EP208" s="692"/>
      <c r="EQ208" s="692"/>
      <c r="ER208" s="692"/>
      <c r="ES208" s="692"/>
      <c r="ET208" s="692"/>
      <c r="EU208" s="692"/>
      <c r="EV208" s="692"/>
      <c r="EW208" s="692"/>
      <c r="EX208" s="692"/>
      <c r="EY208" s="692"/>
      <c r="EZ208" s="692"/>
      <c r="FA208" s="692"/>
      <c r="FB208" s="692"/>
      <c r="FC208" s="692"/>
      <c r="FD208" s="692"/>
      <c r="FE208" s="692"/>
      <c r="FF208" s="692"/>
      <c r="FG208" s="692"/>
      <c r="FH208" s="692"/>
      <c r="FI208" s="692"/>
      <c r="FJ208" s="692"/>
      <c r="FK208" s="692"/>
      <c r="FL208" s="692"/>
      <c r="FM208" s="692"/>
      <c r="FN208" s="692"/>
      <c r="FO208" s="692"/>
      <c r="FP208" s="692"/>
      <c r="FQ208" s="692"/>
      <c r="FR208" s="692"/>
      <c r="FS208" s="692"/>
      <c r="FT208" s="692"/>
      <c r="FU208" s="692"/>
      <c r="FV208" s="692"/>
      <c r="FW208" s="692"/>
      <c r="FX208" s="692"/>
      <c r="FY208" s="692"/>
      <c r="FZ208" s="692"/>
      <c r="GA208" s="692"/>
      <c r="GB208" s="692"/>
      <c r="GC208" s="692"/>
      <c r="GD208" s="692"/>
      <c r="GE208" s="692"/>
      <c r="GF208" s="692"/>
      <c r="GG208" s="692"/>
      <c r="GH208" s="692"/>
      <c r="GI208" s="692"/>
      <c r="GJ208" s="692"/>
      <c r="GK208" s="692"/>
      <c r="GL208" s="692"/>
      <c r="GM208" s="692"/>
      <c r="GN208" s="692"/>
      <c r="GO208" s="692"/>
      <c r="GP208" s="692"/>
      <c r="GQ208" s="692"/>
      <c r="GR208" s="692"/>
      <c r="GS208" s="692"/>
      <c r="GT208" s="692"/>
      <c r="GU208" s="692"/>
      <c r="GV208" s="692"/>
      <c r="GW208" s="692"/>
      <c r="GX208" s="692"/>
      <c r="GY208" s="692"/>
      <c r="GZ208" s="692"/>
      <c r="HA208" s="692"/>
      <c r="HB208" s="692"/>
      <c r="HC208" s="692"/>
      <c r="HD208" s="692"/>
      <c r="HE208" s="692"/>
      <c r="HF208" s="692"/>
      <c r="HG208" s="692"/>
      <c r="HH208" s="692"/>
      <c r="HI208" s="692"/>
      <c r="HJ208" s="692"/>
      <c r="HK208" s="692"/>
      <c r="HL208" s="692"/>
      <c r="HM208" s="692"/>
      <c r="HN208" s="692"/>
      <c r="HO208" s="692"/>
      <c r="HP208" s="692"/>
      <c r="HQ208" s="692"/>
      <c r="HR208" s="692"/>
      <c r="HS208" s="692"/>
      <c r="HT208" s="692"/>
      <c r="HU208" s="692"/>
      <c r="HV208" s="692"/>
      <c r="HW208" s="692"/>
      <c r="HX208" s="692"/>
      <c r="HY208" s="692"/>
      <c r="HZ208" s="692"/>
      <c r="IA208" s="692"/>
      <c r="IB208" s="692"/>
      <c r="IC208" s="692"/>
      <c r="ID208" s="692"/>
      <c r="IE208" s="692"/>
      <c r="IF208" s="692"/>
      <c r="IG208" s="692"/>
      <c r="IH208" s="692"/>
      <c r="II208" s="692"/>
      <c r="IJ208" s="692"/>
      <c r="IK208" s="692"/>
      <c r="IL208" s="692"/>
      <c r="IM208" s="692"/>
      <c r="IN208" s="692"/>
      <c r="IO208" s="692"/>
      <c r="IP208" s="692"/>
      <c r="IQ208" s="692"/>
      <c r="IR208" s="692"/>
      <c r="IS208" s="692"/>
      <c r="IT208" s="692"/>
      <c r="IU208" s="692"/>
      <c r="IV208" s="692"/>
      <c r="IW208" s="692"/>
      <c r="IX208" s="692"/>
      <c r="IY208" s="692"/>
      <c r="IZ208" s="692"/>
      <c r="JA208" s="692"/>
      <c r="JB208" s="692"/>
      <c r="JC208" s="692"/>
      <c r="JD208" s="692"/>
      <c r="JE208" s="692"/>
      <c r="JF208" s="692"/>
      <c r="JG208" s="692"/>
      <c r="JH208" s="692"/>
      <c r="JI208" s="692"/>
      <c r="JJ208" s="692"/>
      <c r="JK208" s="692"/>
      <c r="JL208" s="692"/>
      <c r="JM208" s="692"/>
      <c r="JN208" s="692"/>
      <c r="JO208" s="692"/>
      <c r="JP208" s="692"/>
      <c r="JQ208" s="692"/>
      <c r="JR208" s="692"/>
      <c r="JS208" s="692"/>
      <c r="JT208" s="692"/>
      <c r="JU208" s="692"/>
      <c r="JV208" s="692"/>
      <c r="JW208" s="692"/>
      <c r="JX208" s="692"/>
      <c r="JY208" s="692"/>
      <c r="JZ208" s="692"/>
      <c r="KA208" s="692"/>
      <c r="KB208" s="692"/>
      <c r="KC208" s="692"/>
      <c r="KD208" s="692"/>
      <c r="KE208" s="692"/>
      <c r="KF208" s="692"/>
      <c r="KG208" s="692"/>
      <c r="KH208" s="692"/>
      <c r="KI208" s="692"/>
      <c r="KJ208" s="692"/>
      <c r="KK208" s="692"/>
      <c r="KL208" s="692"/>
      <c r="KM208" s="692"/>
      <c r="KN208" s="692"/>
      <c r="KO208" s="692"/>
      <c r="KP208" s="692"/>
      <c r="KQ208" s="692"/>
      <c r="KR208" s="692"/>
      <c r="KS208" s="692"/>
      <c r="KT208" s="692"/>
      <c r="KU208" s="692"/>
      <c r="KV208" s="692"/>
      <c r="KW208" s="692"/>
      <c r="KX208" s="692"/>
      <c r="KY208" s="692"/>
      <c r="KZ208" s="692"/>
      <c r="LA208" s="692"/>
      <c r="LB208" s="692"/>
      <c r="LC208" s="692"/>
      <c r="LD208" s="692"/>
      <c r="LE208" s="692"/>
      <c r="LF208" s="692"/>
      <c r="LG208" s="692"/>
      <c r="LH208" s="692"/>
      <c r="LI208" s="692"/>
      <c r="LJ208" s="692"/>
      <c r="LK208" s="692"/>
      <c r="LL208" s="692"/>
      <c r="LM208" s="692"/>
      <c r="LN208" s="692"/>
      <c r="LO208" s="692"/>
      <c r="LP208" s="692"/>
      <c r="LQ208" s="692"/>
      <c r="LR208" s="692"/>
      <c r="LS208" s="692"/>
      <c r="LT208" s="692"/>
      <c r="LU208" s="692"/>
      <c r="LV208" s="692"/>
      <c r="LW208" s="692"/>
      <c r="LX208" s="692"/>
      <c r="LY208" s="692"/>
      <c r="LZ208" s="692"/>
      <c r="MA208" s="692"/>
      <c r="MB208" s="692"/>
      <c r="MC208" s="692"/>
      <c r="MD208" s="692"/>
      <c r="ME208" s="692"/>
      <c r="MF208" s="692"/>
      <c r="MG208" s="692"/>
      <c r="MH208" s="692"/>
      <c r="MI208" s="692"/>
      <c r="MJ208" s="692"/>
      <c r="MK208" s="692"/>
      <c r="ML208" s="692"/>
      <c r="MM208" s="692"/>
      <c r="MN208" s="692"/>
      <c r="MO208" s="692"/>
      <c r="MP208" s="692"/>
      <c r="MQ208" s="692"/>
      <c r="MR208" s="692"/>
      <c r="MS208" s="692"/>
      <c r="MT208" s="692"/>
      <c r="MU208" s="692"/>
      <c r="MV208" s="692"/>
      <c r="MW208" s="692"/>
      <c r="MX208" s="692"/>
      <c r="MY208" s="692"/>
      <c r="MZ208" s="692"/>
      <c r="NA208" s="692"/>
      <c r="NB208" s="692"/>
      <c r="NC208" s="692"/>
      <c r="ND208" s="692"/>
      <c r="NE208" s="692"/>
      <c r="NF208" s="692"/>
      <c r="NG208" s="692"/>
      <c r="NH208" s="692"/>
      <c r="NI208" s="692"/>
      <c r="NJ208" s="692"/>
      <c r="NK208" s="692"/>
      <c r="NL208" s="692"/>
      <c r="NM208" s="692"/>
      <c r="NN208" s="692"/>
      <c r="NO208" s="692"/>
    </row>
    <row r="209" spans="1:382" ht="15.75" thickBot="1" x14ac:dyDescent="0.3">
      <c r="A209" s="679"/>
      <c r="B209" s="680" t="s">
        <v>1042</v>
      </c>
      <c r="C209" s="408" t="e">
        <f>C207/C208</f>
        <v>#DIV/0!</v>
      </c>
      <c r="D209" s="680" t="s">
        <v>1679</v>
      </c>
      <c r="E209" s="679"/>
      <c r="F209" s="202"/>
      <c r="G209" s="692"/>
      <c r="H209" s="692"/>
      <c r="I209" s="692"/>
      <c r="J209" s="692"/>
      <c r="K209" s="692"/>
      <c r="L209" s="692"/>
      <c r="M209" s="692"/>
      <c r="N209" s="692"/>
      <c r="O209" s="692"/>
      <c r="P209" s="692"/>
      <c r="Q209" s="692"/>
      <c r="R209" s="692"/>
      <c r="S209" s="692"/>
      <c r="T209" s="692"/>
      <c r="U209" s="692"/>
      <c r="V209" s="692"/>
      <c r="W209" s="692"/>
      <c r="X209" s="692"/>
      <c r="Y209" s="692"/>
      <c r="Z209" s="692"/>
      <c r="AA209" s="692"/>
      <c r="AB209" s="692"/>
      <c r="AC209" s="692"/>
      <c r="AD209" s="692"/>
      <c r="AE209" s="692"/>
      <c r="AF209" s="692"/>
      <c r="AG209" s="692"/>
      <c r="AH209" s="692"/>
      <c r="AI209" s="692"/>
      <c r="AJ209" s="692"/>
      <c r="AK209" s="692"/>
      <c r="AL209" s="692"/>
      <c r="AM209" s="692"/>
      <c r="AN209" s="692"/>
      <c r="AO209" s="692"/>
      <c r="AP209" s="692"/>
      <c r="AQ209" s="692"/>
      <c r="AR209" s="692"/>
      <c r="AS209" s="692"/>
      <c r="AT209" s="692"/>
      <c r="AU209" s="692"/>
      <c r="AV209" s="692"/>
      <c r="AW209" s="692"/>
      <c r="AX209" s="692"/>
      <c r="AY209" s="692"/>
      <c r="AZ209" s="692"/>
      <c r="BA209" s="692"/>
      <c r="BB209" s="692"/>
      <c r="BC209" s="692"/>
      <c r="BD209" s="692"/>
      <c r="BE209" s="692"/>
      <c r="BF209" s="692"/>
      <c r="BG209" s="692"/>
      <c r="BH209" s="692"/>
      <c r="BI209" s="692"/>
      <c r="BJ209" s="692"/>
      <c r="BK209" s="692"/>
      <c r="BL209" s="692"/>
      <c r="BM209" s="692"/>
      <c r="BN209" s="692"/>
      <c r="BO209" s="692"/>
      <c r="BP209" s="692"/>
      <c r="BQ209" s="692"/>
      <c r="BR209" s="692"/>
      <c r="BS209" s="692"/>
      <c r="BT209" s="692"/>
      <c r="BU209" s="692"/>
      <c r="BV209" s="692"/>
      <c r="BW209" s="692"/>
      <c r="BX209" s="692"/>
      <c r="BY209" s="692"/>
      <c r="BZ209" s="692"/>
      <c r="CA209" s="692"/>
      <c r="CB209" s="692"/>
      <c r="CC209" s="692"/>
      <c r="CD209" s="692"/>
      <c r="CE209" s="692"/>
      <c r="CF209" s="692"/>
      <c r="CG209" s="692"/>
      <c r="CH209" s="692"/>
      <c r="CI209" s="692"/>
      <c r="CJ209" s="692"/>
      <c r="CK209" s="692"/>
      <c r="CL209" s="692"/>
      <c r="CM209" s="692"/>
      <c r="CN209" s="692"/>
      <c r="CO209" s="692"/>
      <c r="CP209" s="692"/>
      <c r="CQ209" s="692"/>
      <c r="CR209" s="692"/>
      <c r="CS209" s="692"/>
      <c r="CT209" s="692"/>
      <c r="CU209" s="692"/>
      <c r="CV209" s="692"/>
      <c r="CW209" s="692"/>
      <c r="CX209" s="692"/>
      <c r="CY209" s="692"/>
      <c r="CZ209" s="692"/>
      <c r="DA209" s="692"/>
      <c r="DB209" s="692"/>
      <c r="DC209" s="692"/>
      <c r="DD209" s="692"/>
      <c r="DE209" s="692"/>
      <c r="DF209" s="692"/>
      <c r="DG209" s="692"/>
      <c r="DH209" s="692"/>
      <c r="DI209" s="692"/>
      <c r="DJ209" s="692"/>
      <c r="DK209" s="692"/>
      <c r="DL209" s="692"/>
      <c r="DM209" s="692"/>
      <c r="DN209" s="692"/>
      <c r="DO209" s="692"/>
      <c r="DP209" s="692"/>
      <c r="DQ209" s="692"/>
      <c r="DR209" s="692"/>
      <c r="DS209" s="692"/>
      <c r="DT209" s="692"/>
      <c r="DU209" s="692"/>
      <c r="DV209" s="692"/>
      <c r="DW209" s="692"/>
      <c r="DX209" s="692"/>
      <c r="DY209" s="692"/>
      <c r="DZ209" s="692"/>
      <c r="EA209" s="692"/>
      <c r="EB209" s="692"/>
      <c r="EC209" s="692"/>
      <c r="ED209" s="692"/>
      <c r="EE209" s="692"/>
      <c r="EF209" s="692"/>
      <c r="EG209" s="692"/>
      <c r="EH209" s="692"/>
      <c r="EI209" s="692"/>
      <c r="EJ209" s="692"/>
      <c r="EK209" s="692"/>
      <c r="EL209" s="692"/>
      <c r="EM209" s="692"/>
      <c r="EN209" s="692"/>
      <c r="EO209" s="692"/>
      <c r="EP209" s="692"/>
      <c r="EQ209" s="692"/>
      <c r="ER209" s="692"/>
      <c r="ES209" s="692"/>
      <c r="ET209" s="692"/>
      <c r="EU209" s="692"/>
      <c r="EV209" s="692"/>
      <c r="EW209" s="692"/>
      <c r="EX209" s="692"/>
      <c r="EY209" s="692"/>
      <c r="EZ209" s="692"/>
      <c r="FA209" s="692"/>
      <c r="FB209" s="692"/>
      <c r="FC209" s="692"/>
      <c r="FD209" s="692"/>
      <c r="FE209" s="692"/>
      <c r="FF209" s="692"/>
      <c r="FG209" s="692"/>
      <c r="FH209" s="692"/>
      <c r="FI209" s="692"/>
      <c r="FJ209" s="692"/>
      <c r="FK209" s="692"/>
      <c r="FL209" s="692"/>
      <c r="FM209" s="692"/>
      <c r="FN209" s="692"/>
      <c r="FO209" s="692"/>
      <c r="FP209" s="692"/>
      <c r="FQ209" s="692"/>
      <c r="FR209" s="692"/>
      <c r="FS209" s="692"/>
      <c r="FT209" s="692"/>
      <c r="FU209" s="692"/>
      <c r="FV209" s="692"/>
      <c r="FW209" s="692"/>
      <c r="FX209" s="692"/>
      <c r="FY209" s="692"/>
      <c r="FZ209" s="692"/>
      <c r="GA209" s="692"/>
      <c r="GB209" s="692"/>
      <c r="GC209" s="692"/>
      <c r="GD209" s="692"/>
      <c r="GE209" s="692"/>
      <c r="GF209" s="692"/>
      <c r="GG209" s="692"/>
      <c r="GH209" s="692"/>
      <c r="GI209" s="692"/>
      <c r="GJ209" s="692"/>
      <c r="GK209" s="692"/>
      <c r="GL209" s="692"/>
      <c r="GM209" s="692"/>
      <c r="GN209" s="692"/>
      <c r="GO209" s="692"/>
      <c r="GP209" s="692"/>
      <c r="GQ209" s="692"/>
      <c r="GR209" s="692"/>
      <c r="GS209" s="692"/>
      <c r="GT209" s="692"/>
      <c r="GU209" s="692"/>
      <c r="GV209" s="692"/>
      <c r="GW209" s="692"/>
      <c r="GX209" s="692"/>
      <c r="GY209" s="692"/>
      <c r="GZ209" s="692"/>
      <c r="HA209" s="692"/>
      <c r="HB209" s="692"/>
      <c r="HC209" s="692"/>
      <c r="HD209" s="692"/>
      <c r="HE209" s="692"/>
      <c r="HF209" s="692"/>
      <c r="HG209" s="692"/>
      <c r="HH209" s="692"/>
      <c r="HI209" s="692"/>
      <c r="HJ209" s="692"/>
      <c r="HK209" s="692"/>
      <c r="HL209" s="692"/>
      <c r="HM209" s="692"/>
      <c r="HN209" s="692"/>
      <c r="HO209" s="692"/>
      <c r="HP209" s="692"/>
      <c r="HQ209" s="692"/>
      <c r="HR209" s="692"/>
      <c r="HS209" s="692"/>
      <c r="HT209" s="692"/>
      <c r="HU209" s="692"/>
      <c r="HV209" s="692"/>
      <c r="HW209" s="692"/>
      <c r="HX209" s="692"/>
      <c r="HY209" s="692"/>
      <c r="HZ209" s="692"/>
      <c r="IA209" s="692"/>
      <c r="IB209" s="692"/>
      <c r="IC209" s="692"/>
      <c r="ID209" s="692"/>
      <c r="IE209" s="692"/>
      <c r="IF209" s="692"/>
      <c r="IG209" s="692"/>
      <c r="IH209" s="692"/>
      <c r="II209" s="692"/>
      <c r="IJ209" s="692"/>
      <c r="IK209" s="692"/>
      <c r="IL209" s="692"/>
      <c r="IM209" s="692"/>
      <c r="IN209" s="692"/>
      <c r="IO209" s="692"/>
      <c r="IP209" s="692"/>
      <c r="IQ209" s="692"/>
      <c r="IR209" s="692"/>
      <c r="IS209" s="692"/>
      <c r="IT209" s="692"/>
      <c r="IU209" s="692"/>
      <c r="IV209" s="692"/>
      <c r="IW209" s="692"/>
      <c r="IX209" s="692"/>
      <c r="IY209" s="692"/>
      <c r="IZ209" s="692"/>
      <c r="JA209" s="692"/>
      <c r="JB209" s="692"/>
      <c r="JC209" s="692"/>
      <c r="JD209" s="692"/>
      <c r="JE209" s="692"/>
      <c r="JF209" s="692"/>
      <c r="JG209" s="692"/>
      <c r="JH209" s="692"/>
      <c r="JI209" s="692"/>
      <c r="JJ209" s="692"/>
      <c r="JK209" s="692"/>
      <c r="JL209" s="692"/>
      <c r="JM209" s="692"/>
      <c r="JN209" s="692"/>
      <c r="JO209" s="692"/>
      <c r="JP209" s="692"/>
      <c r="JQ209" s="692"/>
      <c r="JR209" s="692"/>
      <c r="JS209" s="692"/>
      <c r="JT209" s="692"/>
      <c r="JU209" s="692"/>
      <c r="JV209" s="692"/>
      <c r="JW209" s="692"/>
      <c r="JX209" s="692"/>
      <c r="JY209" s="692"/>
      <c r="JZ209" s="692"/>
      <c r="KA209" s="692"/>
      <c r="KB209" s="692"/>
      <c r="KC209" s="692"/>
      <c r="KD209" s="692"/>
      <c r="KE209" s="692"/>
      <c r="KF209" s="692"/>
      <c r="KG209" s="692"/>
      <c r="KH209" s="692"/>
      <c r="KI209" s="692"/>
      <c r="KJ209" s="692"/>
      <c r="KK209" s="692"/>
      <c r="KL209" s="692"/>
      <c r="KM209" s="692"/>
      <c r="KN209" s="692"/>
      <c r="KO209" s="692"/>
      <c r="KP209" s="692"/>
      <c r="KQ209" s="692"/>
      <c r="KR209" s="692"/>
      <c r="KS209" s="692"/>
      <c r="KT209" s="692"/>
      <c r="KU209" s="692"/>
      <c r="KV209" s="692"/>
      <c r="KW209" s="692"/>
      <c r="KX209" s="692"/>
      <c r="KY209" s="692"/>
      <c r="KZ209" s="692"/>
      <c r="LA209" s="692"/>
      <c r="LB209" s="692"/>
      <c r="LC209" s="692"/>
      <c r="LD209" s="692"/>
      <c r="LE209" s="692"/>
      <c r="LF209" s="692"/>
      <c r="LG209" s="692"/>
      <c r="LH209" s="692"/>
      <c r="LI209" s="692"/>
      <c r="LJ209" s="692"/>
      <c r="LK209" s="692"/>
      <c r="LL209" s="692"/>
      <c r="LM209" s="692"/>
      <c r="LN209" s="692"/>
      <c r="LO209" s="692"/>
      <c r="LP209" s="692"/>
      <c r="LQ209" s="692"/>
      <c r="LR209" s="692"/>
      <c r="LS209" s="692"/>
      <c r="LT209" s="692"/>
      <c r="LU209" s="692"/>
      <c r="LV209" s="692"/>
      <c r="LW209" s="692"/>
      <c r="LX209" s="692"/>
      <c r="LY209" s="692"/>
      <c r="LZ209" s="692"/>
      <c r="MA209" s="692"/>
      <c r="MB209" s="692"/>
      <c r="MC209" s="692"/>
      <c r="MD209" s="692"/>
      <c r="ME209" s="692"/>
      <c r="MF209" s="692"/>
      <c r="MG209" s="692"/>
      <c r="MH209" s="692"/>
      <c r="MI209" s="692"/>
      <c r="MJ209" s="692"/>
      <c r="MK209" s="692"/>
      <c r="ML209" s="692"/>
      <c r="MM209" s="692"/>
      <c r="MN209" s="692"/>
      <c r="MO209" s="692"/>
      <c r="MP209" s="692"/>
      <c r="MQ209" s="692"/>
      <c r="MR209" s="692"/>
      <c r="MS209" s="692"/>
      <c r="MT209" s="692"/>
      <c r="MU209" s="692"/>
      <c r="MV209" s="692"/>
      <c r="MW209" s="692"/>
      <c r="MX209" s="692"/>
      <c r="MY209" s="692"/>
      <c r="MZ209" s="692"/>
      <c r="NA209" s="692"/>
      <c r="NB209" s="692"/>
      <c r="NC209" s="692"/>
      <c r="ND209" s="692"/>
      <c r="NE209" s="692"/>
      <c r="NF209" s="692"/>
      <c r="NG209" s="692"/>
      <c r="NH209" s="692"/>
      <c r="NI209" s="692"/>
      <c r="NJ209" s="692"/>
      <c r="NK209" s="692"/>
      <c r="NL209" s="692"/>
      <c r="NM209" s="692"/>
      <c r="NN209" s="692"/>
      <c r="NO209" s="692"/>
      <c r="NP209" s="692"/>
      <c r="NQ209" s="692"/>
      <c r="NR209" s="692"/>
    </row>
    <row r="210" spans="1:382" ht="41.25" thickBot="1" x14ac:dyDescent="0.3">
      <c r="A210" s="679"/>
      <c r="B210" s="680" t="s">
        <v>678</v>
      </c>
      <c r="C210" s="422">
        <f>'Input Data'!$E$324</f>
        <v>0</v>
      </c>
      <c r="D210" s="680" t="s">
        <v>210</v>
      </c>
      <c r="E210" s="679"/>
      <c r="F210" s="199" t="s">
        <v>1680</v>
      </c>
      <c r="G210" s="692"/>
      <c r="H210" s="692"/>
      <c r="I210" s="692"/>
      <c r="J210" s="692"/>
      <c r="K210" s="692"/>
      <c r="L210" s="692"/>
      <c r="M210" s="692"/>
      <c r="N210" s="692"/>
      <c r="O210" s="692"/>
      <c r="P210" s="692"/>
      <c r="Q210" s="692"/>
      <c r="R210" s="692"/>
      <c r="S210" s="692"/>
      <c r="T210" s="692"/>
      <c r="U210" s="692"/>
      <c r="V210" s="692"/>
      <c r="W210" s="692"/>
      <c r="X210" s="692"/>
      <c r="Y210" s="692"/>
      <c r="Z210" s="692"/>
      <c r="AA210" s="692"/>
      <c r="AB210" s="692"/>
      <c r="AC210" s="692"/>
      <c r="AD210" s="692"/>
      <c r="AE210" s="692"/>
      <c r="AF210" s="692"/>
      <c r="AG210" s="692"/>
      <c r="AH210" s="692"/>
      <c r="AI210" s="692"/>
      <c r="AJ210" s="692"/>
      <c r="AK210" s="692"/>
      <c r="AL210" s="692"/>
      <c r="AM210" s="692"/>
      <c r="AN210" s="692"/>
      <c r="AO210" s="692"/>
      <c r="AP210" s="692"/>
      <c r="AQ210" s="692"/>
      <c r="AR210" s="692"/>
      <c r="AS210" s="692"/>
      <c r="AT210" s="692"/>
      <c r="AU210" s="692"/>
      <c r="AV210" s="692"/>
      <c r="AW210" s="692"/>
      <c r="AX210" s="692"/>
      <c r="AY210" s="692"/>
      <c r="AZ210" s="692"/>
      <c r="BA210" s="692"/>
      <c r="BB210" s="692"/>
      <c r="BC210" s="692"/>
      <c r="BD210" s="692"/>
      <c r="BE210" s="692"/>
      <c r="BF210" s="692"/>
      <c r="BG210" s="692"/>
      <c r="BH210" s="692"/>
      <c r="BI210" s="692"/>
      <c r="BJ210" s="692"/>
      <c r="BK210" s="692"/>
      <c r="BL210" s="692"/>
      <c r="BM210" s="692"/>
      <c r="BN210" s="692"/>
      <c r="BO210" s="692"/>
      <c r="BP210" s="692"/>
      <c r="BQ210" s="692"/>
      <c r="BR210" s="692"/>
      <c r="BS210" s="692"/>
      <c r="BT210" s="692"/>
      <c r="BU210" s="692"/>
      <c r="BV210" s="692"/>
      <c r="BW210" s="692"/>
      <c r="BX210" s="692"/>
      <c r="BY210" s="692"/>
      <c r="BZ210" s="692"/>
      <c r="CA210" s="692"/>
      <c r="CB210" s="692"/>
      <c r="CC210" s="692"/>
      <c r="CD210" s="692"/>
      <c r="CE210" s="692"/>
      <c r="CF210" s="692"/>
      <c r="CG210" s="692"/>
      <c r="CH210" s="692"/>
      <c r="CI210" s="692"/>
      <c r="CJ210" s="692"/>
      <c r="CK210" s="692"/>
      <c r="CL210" s="692"/>
      <c r="CM210" s="692"/>
      <c r="CN210" s="692"/>
      <c r="CO210" s="692"/>
      <c r="CP210" s="692"/>
      <c r="CQ210" s="692"/>
      <c r="CR210" s="692"/>
      <c r="CS210" s="692"/>
      <c r="CT210" s="692"/>
      <c r="CU210" s="692"/>
      <c r="CV210" s="692"/>
      <c r="CW210" s="692"/>
      <c r="CX210" s="692"/>
      <c r="CY210" s="692"/>
      <c r="CZ210" s="692"/>
      <c r="DA210" s="692"/>
      <c r="DB210" s="692"/>
      <c r="DC210" s="692"/>
      <c r="DD210" s="692"/>
      <c r="DE210" s="692"/>
      <c r="DF210" s="692"/>
      <c r="DG210" s="692"/>
      <c r="DH210" s="692"/>
      <c r="DI210" s="692"/>
      <c r="DJ210" s="692"/>
      <c r="DK210" s="692"/>
      <c r="DL210" s="692"/>
      <c r="DM210" s="692"/>
      <c r="DN210" s="692"/>
      <c r="DO210" s="692"/>
      <c r="DP210" s="692"/>
      <c r="DQ210" s="692"/>
      <c r="DR210" s="692"/>
      <c r="DS210" s="692"/>
      <c r="DT210" s="692"/>
      <c r="DU210" s="692"/>
      <c r="DV210" s="692"/>
      <c r="DW210" s="692"/>
      <c r="DX210" s="692"/>
      <c r="DY210" s="692"/>
      <c r="DZ210" s="692"/>
      <c r="EA210" s="692"/>
      <c r="EB210" s="692"/>
      <c r="EC210" s="692"/>
      <c r="ED210" s="692"/>
      <c r="EE210" s="692"/>
      <c r="EF210" s="692"/>
      <c r="EG210" s="692"/>
      <c r="EH210" s="692"/>
      <c r="EI210" s="692"/>
      <c r="EJ210" s="692"/>
      <c r="EK210" s="692"/>
      <c r="EL210" s="692"/>
      <c r="EM210" s="692"/>
      <c r="EN210" s="692"/>
      <c r="EO210" s="692"/>
      <c r="EP210" s="692"/>
      <c r="EQ210" s="692"/>
      <c r="ER210" s="692"/>
      <c r="ES210" s="692"/>
      <c r="ET210" s="692"/>
      <c r="EU210" s="692"/>
      <c r="EV210" s="692"/>
      <c r="EW210" s="692"/>
      <c r="EX210" s="692"/>
      <c r="EY210" s="692"/>
      <c r="EZ210" s="692"/>
      <c r="FA210" s="692"/>
      <c r="FB210" s="692"/>
      <c r="FC210" s="692"/>
      <c r="FD210" s="692"/>
      <c r="FE210" s="692"/>
      <c r="FF210" s="692"/>
      <c r="FG210" s="692"/>
      <c r="FH210" s="692"/>
      <c r="FI210" s="692"/>
      <c r="FJ210" s="692"/>
      <c r="FK210" s="692"/>
      <c r="FL210" s="692"/>
      <c r="FM210" s="692"/>
      <c r="FN210" s="692"/>
      <c r="FO210" s="692"/>
      <c r="FP210" s="692"/>
      <c r="FQ210" s="692"/>
      <c r="FR210" s="692"/>
      <c r="FS210" s="692"/>
      <c r="FT210" s="692"/>
      <c r="FU210" s="692"/>
      <c r="FV210" s="692"/>
      <c r="FW210" s="692"/>
      <c r="FX210" s="692"/>
      <c r="FY210" s="692"/>
      <c r="FZ210" s="692"/>
      <c r="GA210" s="692"/>
      <c r="GB210" s="692"/>
      <c r="GC210" s="692"/>
      <c r="GD210" s="692"/>
      <c r="GE210" s="692"/>
      <c r="GF210" s="692"/>
      <c r="GG210" s="692"/>
      <c r="GH210" s="692"/>
      <c r="GI210" s="692"/>
      <c r="GJ210" s="692"/>
      <c r="GK210" s="692"/>
      <c r="GL210" s="692"/>
      <c r="GM210" s="692"/>
      <c r="GN210" s="692"/>
      <c r="GO210" s="692"/>
      <c r="GP210" s="692"/>
      <c r="GQ210" s="692"/>
      <c r="GR210" s="692"/>
      <c r="GS210" s="692"/>
      <c r="GT210" s="692"/>
      <c r="GU210" s="692"/>
      <c r="GV210" s="692"/>
      <c r="GW210" s="692"/>
      <c r="GX210" s="692"/>
      <c r="GY210" s="692"/>
      <c r="GZ210" s="692"/>
      <c r="HA210" s="692"/>
      <c r="HB210" s="692"/>
      <c r="HC210" s="692"/>
      <c r="HD210" s="692"/>
      <c r="HE210" s="692"/>
      <c r="HF210" s="692"/>
      <c r="HG210" s="692"/>
      <c r="HH210" s="692"/>
      <c r="HI210" s="692"/>
      <c r="HJ210" s="692"/>
      <c r="HK210" s="692"/>
      <c r="HL210" s="692"/>
      <c r="HM210" s="692"/>
      <c r="HN210" s="692"/>
      <c r="HO210" s="692"/>
      <c r="HP210" s="692"/>
      <c r="HQ210" s="692"/>
      <c r="HR210" s="692"/>
      <c r="HS210" s="692"/>
      <c r="HT210" s="692"/>
      <c r="HU210" s="692"/>
      <c r="HV210" s="692"/>
      <c r="HW210" s="692"/>
      <c r="HX210" s="692"/>
      <c r="HY210" s="692"/>
      <c r="HZ210" s="692"/>
      <c r="IA210" s="692"/>
      <c r="IB210" s="692"/>
      <c r="IC210" s="692"/>
      <c r="ID210" s="692"/>
      <c r="IE210" s="692"/>
      <c r="IF210" s="692"/>
      <c r="IG210" s="692"/>
      <c r="IH210" s="692"/>
      <c r="II210" s="692"/>
      <c r="IJ210" s="692"/>
      <c r="IK210" s="692"/>
      <c r="IL210" s="692"/>
      <c r="IM210" s="692"/>
      <c r="IN210" s="692"/>
      <c r="IO210" s="692"/>
      <c r="IP210" s="692"/>
      <c r="IQ210" s="692"/>
      <c r="IR210" s="692"/>
      <c r="IS210" s="692"/>
      <c r="IT210" s="692"/>
      <c r="IU210" s="692"/>
      <c r="IV210" s="692"/>
      <c r="IW210" s="692"/>
      <c r="IX210" s="692"/>
      <c r="IY210" s="692"/>
      <c r="IZ210" s="692"/>
      <c r="JA210" s="692"/>
      <c r="JB210" s="692"/>
      <c r="JC210" s="692"/>
      <c r="JD210" s="692"/>
      <c r="JE210" s="692"/>
      <c r="JF210" s="692"/>
      <c r="JG210" s="692"/>
      <c r="JH210" s="692"/>
      <c r="JI210" s="692"/>
      <c r="JJ210" s="692"/>
      <c r="JK210" s="692"/>
      <c r="JL210" s="692"/>
      <c r="JM210" s="692"/>
      <c r="JN210" s="692"/>
      <c r="JO210" s="692"/>
      <c r="JP210" s="692"/>
      <c r="JQ210" s="692"/>
      <c r="JR210" s="692"/>
      <c r="JS210" s="692"/>
      <c r="JT210" s="692"/>
      <c r="JU210" s="692"/>
      <c r="JV210" s="692"/>
      <c r="JW210" s="692"/>
      <c r="JX210" s="692"/>
      <c r="JY210" s="692"/>
      <c r="JZ210" s="692"/>
      <c r="KA210" s="692"/>
      <c r="KB210" s="692"/>
      <c r="KC210" s="692"/>
      <c r="KD210" s="692"/>
      <c r="KE210" s="692"/>
      <c r="KF210" s="692"/>
      <c r="KG210" s="692"/>
      <c r="KH210" s="692"/>
      <c r="KI210" s="692"/>
      <c r="KJ210" s="692"/>
      <c r="KK210" s="692"/>
      <c r="KL210" s="692"/>
      <c r="KM210" s="692"/>
      <c r="KN210" s="692"/>
      <c r="KO210" s="692"/>
      <c r="KP210" s="692"/>
      <c r="KQ210" s="692"/>
      <c r="KR210" s="692"/>
      <c r="KS210" s="692"/>
      <c r="KT210" s="692"/>
      <c r="KU210" s="692"/>
      <c r="KV210" s="692"/>
      <c r="KW210" s="692"/>
      <c r="KX210" s="692"/>
      <c r="KY210" s="692"/>
      <c r="KZ210" s="692"/>
      <c r="LA210" s="692"/>
      <c r="LB210" s="692"/>
      <c r="LC210" s="692"/>
      <c r="LD210" s="692"/>
      <c r="LE210" s="692"/>
      <c r="LF210" s="692"/>
      <c r="LG210" s="692"/>
      <c r="LH210" s="692"/>
      <c r="LI210" s="692"/>
      <c r="LJ210" s="692"/>
      <c r="LK210" s="692"/>
      <c r="LL210" s="692"/>
      <c r="LM210" s="692"/>
      <c r="LN210" s="692"/>
      <c r="LO210" s="692"/>
      <c r="LP210" s="692"/>
      <c r="LQ210" s="692"/>
      <c r="LR210" s="692"/>
      <c r="LS210" s="692"/>
      <c r="LT210" s="692"/>
      <c r="LU210" s="692"/>
      <c r="LV210" s="692"/>
      <c r="LW210" s="692"/>
      <c r="LX210" s="692"/>
      <c r="LY210" s="692"/>
      <c r="LZ210" s="692"/>
      <c r="MA210" s="692"/>
      <c r="MB210" s="692"/>
      <c r="MC210" s="692"/>
      <c r="MD210" s="692"/>
      <c r="ME210" s="692"/>
      <c r="MF210" s="692"/>
      <c r="MG210" s="692"/>
      <c r="MH210" s="692"/>
      <c r="MI210" s="692"/>
      <c r="MJ210" s="692"/>
      <c r="MK210" s="692"/>
      <c r="ML210" s="692"/>
      <c r="MM210" s="692"/>
      <c r="MN210" s="692"/>
      <c r="MO210" s="692"/>
      <c r="MP210" s="692"/>
      <c r="MQ210" s="692"/>
      <c r="MR210" s="692"/>
      <c r="MS210" s="692"/>
      <c r="MT210" s="692"/>
      <c r="MU210" s="692"/>
      <c r="MV210" s="692"/>
      <c r="MW210" s="692"/>
      <c r="MX210" s="692"/>
      <c r="MY210" s="692"/>
      <c r="MZ210" s="692"/>
      <c r="NA210" s="692"/>
      <c r="NB210" s="692"/>
      <c r="NC210" s="692"/>
      <c r="ND210" s="692"/>
      <c r="NE210" s="692"/>
      <c r="NF210" s="692"/>
      <c r="NG210" s="692"/>
      <c r="NH210" s="692"/>
      <c r="NI210" s="692"/>
      <c r="NJ210" s="692"/>
      <c r="NK210" s="692"/>
      <c r="NL210" s="692"/>
      <c r="NM210" s="692"/>
      <c r="NN210" s="692"/>
      <c r="NO210" s="692"/>
      <c r="NP210" s="692"/>
      <c r="NQ210" s="692"/>
      <c r="NR210" s="692"/>
    </row>
    <row r="211" spans="1:382" ht="15.75" thickBot="1" x14ac:dyDescent="0.3">
      <c r="A211" s="679"/>
      <c r="B211" s="189" t="s">
        <v>1681</v>
      </c>
      <c r="C211" s="114" t="e">
        <f>C207*'Conversion factors'!B8/C210*100</f>
        <v>#DIV/0!</v>
      </c>
      <c r="D211" s="680" t="s">
        <v>1575</v>
      </c>
      <c r="E211" s="679"/>
      <c r="F211" s="213" t="s">
        <v>1682</v>
      </c>
      <c r="G211" s="692"/>
      <c r="H211" s="692"/>
      <c r="I211" s="692"/>
      <c r="J211" s="692"/>
      <c r="K211" s="692"/>
      <c r="L211" s="692"/>
      <c r="M211" s="692"/>
      <c r="N211" s="692"/>
      <c r="O211" s="692"/>
      <c r="P211" s="692"/>
      <c r="Q211" s="692"/>
      <c r="R211" s="692"/>
      <c r="S211" s="692"/>
      <c r="T211" s="692"/>
      <c r="U211" s="692"/>
      <c r="V211" s="692"/>
      <c r="W211" s="692"/>
      <c r="X211" s="692"/>
      <c r="Y211" s="692"/>
      <c r="Z211" s="692"/>
      <c r="AA211" s="692"/>
      <c r="AB211" s="692"/>
      <c r="AC211" s="692"/>
      <c r="AD211" s="692"/>
      <c r="AE211" s="692"/>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c r="CF211" s="692"/>
      <c r="CG211" s="692"/>
      <c r="CH211" s="692"/>
      <c r="CI211" s="692"/>
      <c r="CJ211" s="692"/>
      <c r="CK211" s="692"/>
      <c r="CL211" s="692"/>
      <c r="CM211" s="692"/>
      <c r="CN211" s="692"/>
      <c r="CO211" s="692"/>
      <c r="CP211" s="692"/>
      <c r="CQ211" s="692"/>
      <c r="CR211" s="692"/>
      <c r="CS211" s="692"/>
      <c r="CT211" s="692"/>
      <c r="CU211" s="692"/>
      <c r="CV211" s="692"/>
      <c r="CW211" s="692"/>
      <c r="CX211" s="692"/>
      <c r="CY211" s="692"/>
      <c r="CZ211" s="692"/>
      <c r="DA211" s="692"/>
      <c r="DB211" s="692"/>
      <c r="DC211" s="692"/>
      <c r="DD211" s="692"/>
      <c r="DE211" s="692"/>
      <c r="DF211" s="692"/>
      <c r="DG211" s="692"/>
      <c r="DH211" s="692"/>
      <c r="DI211" s="692"/>
      <c r="DJ211" s="692"/>
      <c r="DK211" s="692"/>
      <c r="DL211" s="692"/>
      <c r="DM211" s="692"/>
      <c r="DN211" s="692"/>
      <c r="DO211" s="692"/>
      <c r="DP211" s="692"/>
      <c r="DQ211" s="692"/>
      <c r="DR211" s="692"/>
      <c r="DS211" s="692"/>
      <c r="DT211" s="692"/>
      <c r="DU211" s="692"/>
      <c r="DV211" s="692"/>
      <c r="DW211" s="692"/>
      <c r="DX211" s="692"/>
      <c r="DY211" s="692"/>
      <c r="DZ211" s="692"/>
      <c r="EA211" s="692"/>
      <c r="EB211" s="692"/>
      <c r="EC211" s="692"/>
      <c r="ED211" s="692"/>
      <c r="EE211" s="692"/>
      <c r="EF211" s="692"/>
      <c r="EG211" s="692"/>
      <c r="EH211" s="692"/>
      <c r="EI211" s="692"/>
      <c r="EJ211" s="692"/>
      <c r="EK211" s="692"/>
      <c r="EL211" s="692"/>
      <c r="EM211" s="692"/>
      <c r="EN211" s="692"/>
      <c r="EO211" s="692"/>
      <c r="EP211" s="692"/>
      <c r="EQ211" s="692"/>
      <c r="ER211" s="692"/>
      <c r="ES211" s="692"/>
      <c r="ET211" s="692"/>
      <c r="EU211" s="692"/>
      <c r="EV211" s="692"/>
      <c r="EW211" s="692"/>
      <c r="EX211" s="692"/>
      <c r="EY211" s="692"/>
      <c r="EZ211" s="692"/>
      <c r="FA211" s="692"/>
      <c r="FB211" s="692"/>
      <c r="FC211" s="692"/>
      <c r="FD211" s="692"/>
      <c r="FE211" s="692"/>
      <c r="FF211" s="692"/>
      <c r="FG211" s="692"/>
      <c r="FH211" s="692"/>
      <c r="FI211" s="692"/>
      <c r="FJ211" s="692"/>
      <c r="FK211" s="692"/>
      <c r="FL211" s="692"/>
      <c r="FM211" s="692"/>
      <c r="FN211" s="692"/>
      <c r="FO211" s="692"/>
      <c r="FP211" s="692"/>
      <c r="FQ211" s="692"/>
      <c r="FR211" s="692"/>
      <c r="FS211" s="692"/>
      <c r="FT211" s="692"/>
      <c r="FU211" s="692"/>
      <c r="FV211" s="692"/>
      <c r="FW211" s="692"/>
      <c r="FX211" s="692"/>
      <c r="FY211" s="692"/>
      <c r="FZ211" s="692"/>
      <c r="GA211" s="692"/>
      <c r="GB211" s="692"/>
      <c r="GC211" s="692"/>
      <c r="GD211" s="692"/>
      <c r="GE211" s="692"/>
      <c r="GF211" s="692"/>
      <c r="GG211" s="692"/>
      <c r="GH211" s="692"/>
      <c r="GI211" s="692"/>
      <c r="GJ211" s="692"/>
      <c r="GK211" s="692"/>
      <c r="GL211" s="692"/>
      <c r="GM211" s="692"/>
      <c r="GN211" s="692"/>
      <c r="GO211" s="692"/>
      <c r="GP211" s="692"/>
      <c r="GQ211" s="692"/>
      <c r="GR211" s="692"/>
      <c r="GS211" s="692"/>
      <c r="GT211" s="692"/>
      <c r="GU211" s="692"/>
      <c r="GV211" s="692"/>
      <c r="GW211" s="692"/>
      <c r="GX211" s="692"/>
      <c r="GY211" s="692"/>
      <c r="GZ211" s="692"/>
      <c r="HA211" s="692"/>
      <c r="HB211" s="692"/>
      <c r="HC211" s="692"/>
      <c r="HD211" s="692"/>
      <c r="HE211" s="692"/>
      <c r="HF211" s="692"/>
      <c r="HG211" s="692"/>
      <c r="HH211" s="692"/>
      <c r="HI211" s="692"/>
      <c r="HJ211" s="692"/>
      <c r="HK211" s="692"/>
      <c r="HL211" s="692"/>
      <c r="HM211" s="692"/>
      <c r="HN211" s="692"/>
      <c r="HO211" s="692"/>
      <c r="HP211" s="692"/>
      <c r="HQ211" s="692"/>
      <c r="HR211" s="692"/>
      <c r="HS211" s="692"/>
      <c r="HT211" s="692"/>
      <c r="HU211" s="692"/>
      <c r="HV211" s="692"/>
      <c r="HW211" s="692"/>
      <c r="HX211" s="692"/>
      <c r="HY211" s="692"/>
      <c r="HZ211" s="692"/>
      <c r="IA211" s="692"/>
      <c r="IB211" s="692"/>
      <c r="IC211" s="692"/>
      <c r="ID211" s="692"/>
      <c r="IE211" s="692"/>
      <c r="IF211" s="692"/>
      <c r="IG211" s="692"/>
      <c r="IH211" s="692"/>
      <c r="II211" s="692"/>
      <c r="IJ211" s="692"/>
      <c r="IK211" s="692"/>
      <c r="IL211" s="692"/>
      <c r="IM211" s="692"/>
      <c r="IN211" s="692"/>
      <c r="IO211" s="692"/>
      <c r="IP211" s="692"/>
      <c r="IQ211" s="692"/>
      <c r="IR211" s="692"/>
      <c r="IS211" s="692"/>
      <c r="IT211" s="692"/>
      <c r="IU211" s="692"/>
      <c r="IV211" s="692"/>
      <c r="IW211" s="692"/>
      <c r="IX211" s="692"/>
      <c r="IY211" s="692"/>
      <c r="IZ211" s="692"/>
      <c r="JA211" s="692"/>
      <c r="JB211" s="692"/>
      <c r="JC211" s="692"/>
      <c r="JD211" s="692"/>
      <c r="JE211" s="692"/>
      <c r="JF211" s="692"/>
      <c r="JG211" s="692"/>
      <c r="JH211" s="692"/>
      <c r="JI211" s="692"/>
      <c r="JJ211" s="692"/>
      <c r="JK211" s="692"/>
      <c r="JL211" s="692"/>
      <c r="JM211" s="692"/>
      <c r="JN211" s="692"/>
      <c r="JO211" s="692"/>
      <c r="JP211" s="692"/>
      <c r="JQ211" s="692"/>
      <c r="JR211" s="692"/>
      <c r="JS211" s="692"/>
      <c r="JT211" s="692"/>
      <c r="JU211" s="692"/>
      <c r="JV211" s="692"/>
      <c r="JW211" s="692"/>
      <c r="JX211" s="692"/>
      <c r="JY211" s="692"/>
      <c r="JZ211" s="692"/>
      <c r="KA211" s="692"/>
      <c r="KB211" s="692"/>
      <c r="KC211" s="692"/>
      <c r="KD211" s="692"/>
      <c r="KE211" s="692"/>
      <c r="KF211" s="692"/>
      <c r="KG211" s="692"/>
      <c r="KH211" s="692"/>
      <c r="KI211" s="692"/>
      <c r="KJ211" s="692"/>
      <c r="KK211" s="692"/>
      <c r="KL211" s="692"/>
      <c r="KM211" s="692"/>
      <c r="KN211" s="692"/>
      <c r="KO211" s="692"/>
      <c r="KP211" s="692"/>
      <c r="KQ211" s="692"/>
      <c r="KR211" s="692"/>
      <c r="KS211" s="692"/>
      <c r="KT211" s="692"/>
      <c r="KU211" s="692"/>
      <c r="KV211" s="692"/>
      <c r="KW211" s="692"/>
      <c r="KX211" s="692"/>
      <c r="KY211" s="692"/>
      <c r="KZ211" s="692"/>
      <c r="LA211" s="692"/>
      <c r="LB211" s="692"/>
      <c r="LC211" s="692"/>
      <c r="LD211" s="692"/>
      <c r="LE211" s="692"/>
      <c r="LF211" s="692"/>
      <c r="LG211" s="692"/>
      <c r="LH211" s="692"/>
      <c r="LI211" s="692"/>
      <c r="LJ211" s="692"/>
      <c r="LK211" s="692"/>
      <c r="LL211" s="692"/>
      <c r="LM211" s="692"/>
      <c r="LN211" s="692"/>
      <c r="LO211" s="692"/>
      <c r="LP211" s="692"/>
      <c r="LQ211" s="692"/>
      <c r="LR211" s="692"/>
      <c r="LS211" s="692"/>
      <c r="LT211" s="692"/>
      <c r="LU211" s="692"/>
      <c r="LV211" s="692"/>
      <c r="LW211" s="692"/>
      <c r="LX211" s="692"/>
      <c r="LY211" s="692"/>
      <c r="LZ211" s="692"/>
      <c r="MA211" s="692"/>
      <c r="MB211" s="692"/>
      <c r="MC211" s="692"/>
      <c r="MD211" s="692"/>
      <c r="ME211" s="692"/>
      <c r="MF211" s="692"/>
      <c r="MG211" s="692"/>
      <c r="MH211" s="692"/>
      <c r="MI211" s="692"/>
      <c r="MJ211" s="692"/>
      <c r="MK211" s="692"/>
      <c r="ML211" s="692"/>
      <c r="MM211" s="692"/>
      <c r="MN211" s="692"/>
      <c r="MO211" s="692"/>
      <c r="MP211" s="692"/>
      <c r="MQ211" s="692"/>
      <c r="MR211" s="692"/>
      <c r="MS211" s="692"/>
      <c r="MT211" s="692"/>
      <c r="MU211" s="692"/>
      <c r="MV211" s="692"/>
      <c r="MW211" s="692"/>
      <c r="MX211" s="692"/>
      <c r="MY211" s="692"/>
      <c r="MZ211" s="692"/>
      <c r="NA211" s="692"/>
      <c r="NB211" s="692"/>
      <c r="NC211" s="692"/>
      <c r="ND211" s="692"/>
      <c r="NE211" s="692"/>
      <c r="NF211" s="692"/>
      <c r="NG211" s="692"/>
      <c r="NH211" s="692"/>
      <c r="NI211" s="692"/>
      <c r="NJ211" s="692"/>
      <c r="NK211" s="692"/>
      <c r="NL211" s="692"/>
      <c r="NM211" s="692"/>
      <c r="NN211" s="692"/>
      <c r="NO211" s="692"/>
      <c r="NP211" s="692"/>
      <c r="NQ211" s="692"/>
      <c r="NR211" s="692"/>
    </row>
    <row r="212" spans="1:382" ht="15.75" thickBot="1" x14ac:dyDescent="0.3">
      <c r="A212" s="679"/>
      <c r="B212" s="679"/>
      <c r="C212" s="114"/>
      <c r="D212" s="680"/>
      <c r="E212" s="679"/>
      <c r="F212" s="214"/>
      <c r="G212" s="280"/>
      <c r="H212" s="692"/>
      <c r="I212" s="692"/>
      <c r="J212" s="692"/>
      <c r="K212" s="692"/>
      <c r="L212" s="692"/>
      <c r="M212" s="692"/>
      <c r="N212" s="692"/>
      <c r="O212" s="692"/>
      <c r="P212" s="692"/>
      <c r="Q212" s="692"/>
      <c r="R212" s="692"/>
      <c r="S212" s="692"/>
      <c r="T212" s="692"/>
      <c r="U212" s="692"/>
      <c r="V212" s="692"/>
      <c r="W212" s="692"/>
      <c r="X212" s="692"/>
      <c r="Y212" s="692"/>
      <c r="Z212" s="692"/>
      <c r="AA212" s="692"/>
      <c r="AB212" s="692"/>
      <c r="AC212" s="692"/>
      <c r="AD212" s="692"/>
      <c r="AE212" s="692"/>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c r="CF212" s="692"/>
      <c r="CG212" s="692"/>
      <c r="CH212" s="692"/>
      <c r="CI212" s="692"/>
      <c r="CJ212" s="692"/>
      <c r="CK212" s="692"/>
      <c r="CL212" s="692"/>
      <c r="CM212" s="692"/>
      <c r="CN212" s="692"/>
      <c r="CO212" s="692"/>
      <c r="CP212" s="692"/>
      <c r="CQ212" s="692"/>
      <c r="CR212" s="692"/>
      <c r="CS212" s="692"/>
      <c r="CT212" s="692"/>
      <c r="CU212" s="692"/>
      <c r="CV212" s="692"/>
      <c r="CW212" s="692"/>
      <c r="CX212" s="692"/>
      <c r="CY212" s="692"/>
      <c r="CZ212" s="692"/>
      <c r="DA212" s="692"/>
      <c r="DB212" s="692"/>
      <c r="DC212" s="692"/>
      <c r="DD212" s="692"/>
      <c r="DE212" s="692"/>
      <c r="DF212" s="692"/>
      <c r="DG212" s="692"/>
      <c r="DH212" s="692"/>
      <c r="DI212" s="692"/>
      <c r="DJ212" s="692"/>
      <c r="DK212" s="692"/>
      <c r="DL212" s="692"/>
      <c r="DM212" s="692"/>
      <c r="DN212" s="692"/>
      <c r="DO212" s="692"/>
      <c r="DP212" s="692"/>
      <c r="DQ212" s="692"/>
      <c r="DR212" s="692"/>
      <c r="DS212" s="692"/>
      <c r="DT212" s="692"/>
      <c r="DU212" s="692"/>
      <c r="DV212" s="692"/>
      <c r="DW212" s="692"/>
      <c r="DX212" s="692"/>
      <c r="DY212" s="692"/>
      <c r="DZ212" s="692"/>
      <c r="EA212" s="692"/>
      <c r="EB212" s="692"/>
      <c r="EC212" s="692"/>
      <c r="ED212" s="692"/>
      <c r="EE212" s="692"/>
      <c r="EF212" s="692"/>
      <c r="EG212" s="692"/>
      <c r="EH212" s="692"/>
      <c r="EI212" s="692"/>
      <c r="EJ212" s="692"/>
      <c r="EK212" s="692"/>
      <c r="EL212" s="692"/>
      <c r="EM212" s="692"/>
      <c r="EN212" s="692"/>
      <c r="EO212" s="692"/>
      <c r="EP212" s="692"/>
      <c r="EQ212" s="692"/>
      <c r="ER212" s="692"/>
      <c r="ES212" s="692"/>
      <c r="ET212" s="692"/>
      <c r="EU212" s="692"/>
      <c r="EV212" s="692"/>
      <c r="EW212" s="692"/>
      <c r="EX212" s="692"/>
      <c r="EY212" s="692"/>
      <c r="EZ212" s="692"/>
      <c r="FA212" s="692"/>
      <c r="FB212" s="692"/>
      <c r="FC212" s="692"/>
      <c r="FD212" s="692"/>
      <c r="FE212" s="692"/>
      <c r="FF212" s="692"/>
      <c r="FG212" s="692"/>
      <c r="FH212" s="692"/>
      <c r="FI212" s="692"/>
      <c r="FJ212" s="692"/>
      <c r="FK212" s="692"/>
      <c r="FL212" s="692"/>
      <c r="FM212" s="692"/>
      <c r="FN212" s="692"/>
      <c r="FO212" s="692"/>
      <c r="FP212" s="692"/>
      <c r="FQ212" s="692"/>
      <c r="FR212" s="692"/>
      <c r="FS212" s="692"/>
      <c r="FT212" s="692"/>
      <c r="FU212" s="692"/>
      <c r="FV212" s="692"/>
      <c r="FW212" s="692"/>
      <c r="FX212" s="692"/>
      <c r="FY212" s="692"/>
      <c r="FZ212" s="692"/>
      <c r="GA212" s="692"/>
      <c r="GB212" s="692"/>
      <c r="GC212" s="692"/>
      <c r="GD212" s="692"/>
      <c r="GE212" s="692"/>
      <c r="GF212" s="692"/>
      <c r="GG212" s="692"/>
      <c r="GH212" s="692"/>
      <c r="GI212" s="692"/>
      <c r="GJ212" s="692"/>
      <c r="GK212" s="692"/>
      <c r="GL212" s="692"/>
      <c r="GM212" s="692"/>
      <c r="GN212" s="692"/>
      <c r="GO212" s="692"/>
      <c r="GP212" s="692"/>
      <c r="GQ212" s="692"/>
      <c r="GR212" s="692"/>
      <c r="GS212" s="692"/>
      <c r="GT212" s="692"/>
      <c r="GU212" s="692"/>
      <c r="GV212" s="692"/>
      <c r="GW212" s="692"/>
      <c r="GX212" s="692"/>
      <c r="GY212" s="692"/>
      <c r="GZ212" s="692"/>
      <c r="HA212" s="692"/>
      <c r="HB212" s="692"/>
      <c r="HC212" s="692"/>
      <c r="HD212" s="692"/>
      <c r="HE212" s="692"/>
      <c r="HF212" s="692"/>
      <c r="HG212" s="692"/>
      <c r="HH212" s="692"/>
      <c r="HI212" s="692"/>
      <c r="HJ212" s="692"/>
      <c r="HK212" s="692"/>
      <c r="HL212" s="692"/>
      <c r="HM212" s="692"/>
      <c r="HN212" s="692"/>
      <c r="HO212" s="692"/>
      <c r="HP212" s="692"/>
      <c r="HQ212" s="692"/>
      <c r="HR212" s="692"/>
      <c r="HS212" s="692"/>
      <c r="HT212" s="692"/>
      <c r="HU212" s="692"/>
      <c r="HV212" s="692"/>
      <c r="HW212" s="692"/>
      <c r="HX212" s="692"/>
      <c r="HY212" s="692"/>
      <c r="HZ212" s="692"/>
      <c r="IA212" s="692"/>
      <c r="IB212" s="692"/>
      <c r="IC212" s="692"/>
      <c r="ID212" s="692"/>
      <c r="IE212" s="692"/>
      <c r="IF212" s="692"/>
      <c r="IG212" s="692"/>
      <c r="IH212" s="692"/>
      <c r="II212" s="692"/>
      <c r="IJ212" s="692"/>
      <c r="IK212" s="692"/>
      <c r="IL212" s="692"/>
      <c r="IM212" s="692"/>
      <c r="IN212" s="692"/>
      <c r="IO212" s="692"/>
      <c r="IP212" s="692"/>
      <c r="IQ212" s="692"/>
      <c r="IR212" s="692"/>
      <c r="IS212" s="692"/>
      <c r="IT212" s="692"/>
      <c r="IU212" s="692"/>
      <c r="IV212" s="692"/>
      <c r="IW212" s="692"/>
      <c r="IX212" s="692"/>
      <c r="IY212" s="692"/>
      <c r="IZ212" s="692"/>
      <c r="JA212" s="692"/>
      <c r="JB212" s="692"/>
      <c r="JC212" s="692"/>
      <c r="JD212" s="692"/>
      <c r="JE212" s="692"/>
      <c r="JF212" s="692"/>
      <c r="JG212" s="692"/>
      <c r="JH212" s="692"/>
      <c r="JI212" s="692"/>
      <c r="JJ212" s="692"/>
      <c r="JK212" s="692"/>
      <c r="JL212" s="692"/>
      <c r="JM212" s="692"/>
      <c r="JN212" s="692"/>
      <c r="JO212" s="692"/>
      <c r="JP212" s="692"/>
      <c r="JQ212" s="692"/>
      <c r="JR212" s="692"/>
      <c r="JS212" s="692"/>
      <c r="JT212" s="692"/>
      <c r="JU212" s="692"/>
      <c r="JV212" s="692"/>
      <c r="JW212" s="692"/>
      <c r="JX212" s="692"/>
      <c r="JY212" s="692"/>
      <c r="JZ212" s="692"/>
      <c r="KA212" s="692"/>
      <c r="KB212" s="692"/>
      <c r="KC212" s="692"/>
      <c r="KD212" s="692"/>
      <c r="KE212" s="692"/>
      <c r="KF212" s="692"/>
      <c r="KG212" s="692"/>
      <c r="KH212" s="692"/>
      <c r="KI212" s="692"/>
      <c r="KJ212" s="692"/>
      <c r="KK212" s="692"/>
      <c r="KL212" s="692"/>
      <c r="KM212" s="692"/>
      <c r="KN212" s="692"/>
      <c r="KO212" s="692"/>
      <c r="KP212" s="692"/>
      <c r="KQ212" s="692"/>
      <c r="KR212" s="692"/>
      <c r="KS212" s="692"/>
      <c r="KT212" s="692"/>
      <c r="KU212" s="692"/>
      <c r="KV212" s="692"/>
      <c r="KW212" s="692"/>
      <c r="KX212" s="692"/>
      <c r="KY212" s="692"/>
      <c r="KZ212" s="692"/>
      <c r="LA212" s="692"/>
      <c r="LB212" s="692"/>
      <c r="LC212" s="692"/>
      <c r="LD212" s="692"/>
      <c r="LE212" s="692"/>
      <c r="LF212" s="692"/>
      <c r="LG212" s="692"/>
      <c r="LH212" s="692"/>
      <c r="LI212" s="692"/>
      <c r="LJ212" s="692"/>
      <c r="LK212" s="692"/>
      <c r="LL212" s="692"/>
      <c r="LM212" s="692"/>
      <c r="LN212" s="692"/>
      <c r="LO212" s="692"/>
      <c r="LP212" s="692"/>
      <c r="LQ212" s="692"/>
      <c r="LR212" s="692"/>
      <c r="LS212" s="692"/>
      <c r="LT212" s="692"/>
      <c r="LU212" s="692"/>
      <c r="LV212" s="692"/>
      <c r="LW212" s="692"/>
      <c r="LX212" s="692"/>
      <c r="LY212" s="692"/>
      <c r="LZ212" s="692"/>
      <c r="MA212" s="692"/>
      <c r="MB212" s="692"/>
      <c r="MC212" s="692"/>
      <c r="MD212" s="692"/>
      <c r="ME212" s="692"/>
      <c r="MF212" s="692"/>
      <c r="MG212" s="692"/>
      <c r="MH212" s="692"/>
      <c r="MI212" s="692"/>
      <c r="MJ212" s="692"/>
      <c r="MK212" s="692"/>
      <c r="ML212" s="692"/>
      <c r="MM212" s="692"/>
      <c r="MN212" s="692"/>
      <c r="MO212" s="692"/>
      <c r="MP212" s="692"/>
      <c r="MQ212" s="692"/>
      <c r="MR212" s="692"/>
      <c r="MS212" s="692"/>
      <c r="MT212" s="692"/>
      <c r="MU212" s="692"/>
      <c r="MV212" s="692"/>
      <c r="MW212" s="692"/>
      <c r="MX212" s="692"/>
      <c r="MY212" s="692"/>
      <c r="MZ212" s="692"/>
      <c r="NA212" s="692"/>
      <c r="NB212" s="692"/>
      <c r="NC212" s="692"/>
      <c r="ND212" s="692"/>
      <c r="NE212" s="692"/>
      <c r="NF212" s="692"/>
      <c r="NG212" s="692"/>
      <c r="NH212" s="692"/>
      <c r="NI212" s="692"/>
      <c r="NJ212" s="692"/>
      <c r="NK212" s="692"/>
      <c r="NL212" s="692"/>
      <c r="NM212" s="692"/>
      <c r="NN212" s="692"/>
      <c r="NO212" s="692"/>
      <c r="NP212" s="692"/>
      <c r="NQ212" s="692"/>
      <c r="NR212" s="692"/>
    </row>
    <row r="213" spans="1:382" ht="15.75" thickBot="1" x14ac:dyDescent="0.3">
      <c r="A213" s="679"/>
      <c r="B213" s="680" t="s">
        <v>1045</v>
      </c>
      <c r="C213" s="422">
        <f>'Input Data'!$E$296</f>
        <v>0</v>
      </c>
      <c r="D213" s="680" t="s">
        <v>367</v>
      </c>
      <c r="E213" s="8"/>
      <c r="F213" s="203"/>
      <c r="G213" s="280"/>
      <c r="H213" s="692"/>
      <c r="I213" s="692"/>
      <c r="J213" s="692"/>
      <c r="K213" s="692"/>
      <c r="L213" s="692"/>
      <c r="M213" s="692"/>
      <c r="N213" s="692"/>
      <c r="O213" s="692"/>
      <c r="P213" s="692"/>
      <c r="Q213" s="692"/>
      <c r="R213" s="692"/>
      <c r="S213" s="692"/>
      <c r="T213" s="692"/>
      <c r="U213" s="692"/>
      <c r="V213" s="692"/>
      <c r="W213" s="692"/>
      <c r="X213" s="692"/>
      <c r="Y213" s="692"/>
      <c r="Z213" s="692"/>
      <c r="AA213" s="692"/>
      <c r="AB213" s="692"/>
      <c r="AC213" s="692"/>
      <c r="AD213" s="692"/>
      <c r="AE213" s="692"/>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c r="CF213" s="692"/>
      <c r="CG213" s="692"/>
      <c r="CH213" s="692"/>
      <c r="CI213" s="692"/>
      <c r="CJ213" s="692"/>
      <c r="CK213" s="692"/>
      <c r="CL213" s="692"/>
      <c r="CM213" s="692"/>
      <c r="CN213" s="692"/>
      <c r="CO213" s="692"/>
      <c r="CP213" s="692"/>
      <c r="CQ213" s="692"/>
      <c r="CR213" s="692"/>
      <c r="CS213" s="692"/>
      <c r="CT213" s="692"/>
      <c r="CU213" s="692"/>
      <c r="CV213" s="692"/>
      <c r="CW213" s="692"/>
      <c r="CX213" s="692"/>
      <c r="CY213" s="692"/>
      <c r="CZ213" s="692"/>
      <c r="DA213" s="692"/>
      <c r="DB213" s="692"/>
      <c r="DC213" s="692"/>
      <c r="DD213" s="692"/>
      <c r="DE213" s="692"/>
      <c r="DF213" s="692"/>
      <c r="DG213" s="692"/>
      <c r="DH213" s="692"/>
      <c r="DI213" s="692"/>
      <c r="DJ213" s="692"/>
      <c r="DK213" s="692"/>
      <c r="DL213" s="692"/>
      <c r="DM213" s="692"/>
      <c r="DN213" s="692"/>
      <c r="DO213" s="692"/>
      <c r="DP213" s="692"/>
      <c r="DQ213" s="692"/>
      <c r="DR213" s="692"/>
      <c r="DS213" s="692"/>
      <c r="DT213" s="692"/>
      <c r="DU213" s="692"/>
      <c r="DV213" s="692"/>
      <c r="DW213" s="692"/>
      <c r="DX213" s="692"/>
      <c r="DY213" s="692"/>
      <c r="DZ213" s="692"/>
      <c r="EA213" s="692"/>
      <c r="EB213" s="692"/>
      <c r="EC213" s="692"/>
      <c r="ED213" s="692"/>
      <c r="EE213" s="692"/>
      <c r="EF213" s="692"/>
      <c r="EG213" s="692"/>
      <c r="EH213" s="692"/>
      <c r="EI213" s="692"/>
      <c r="EJ213" s="692"/>
      <c r="EK213" s="692"/>
      <c r="EL213" s="692"/>
      <c r="EM213" s="692"/>
      <c r="EN213" s="692"/>
      <c r="EO213" s="692"/>
      <c r="EP213" s="692"/>
      <c r="EQ213" s="692"/>
      <c r="ER213" s="692"/>
      <c r="ES213" s="692"/>
      <c r="ET213" s="692"/>
      <c r="EU213" s="692"/>
      <c r="EV213" s="692"/>
      <c r="EW213" s="692"/>
      <c r="EX213" s="692"/>
      <c r="EY213" s="692"/>
      <c r="EZ213" s="692"/>
      <c r="FA213" s="692"/>
      <c r="FB213" s="692"/>
      <c r="FC213" s="692"/>
      <c r="FD213" s="692"/>
      <c r="FE213" s="692"/>
      <c r="FF213" s="692"/>
      <c r="FG213" s="692"/>
      <c r="FH213" s="692"/>
      <c r="FI213" s="692"/>
      <c r="FJ213" s="692"/>
      <c r="FK213" s="692"/>
      <c r="FL213" s="692"/>
      <c r="FM213" s="692"/>
      <c r="FN213" s="692"/>
      <c r="FO213" s="692"/>
      <c r="FP213" s="692"/>
      <c r="FQ213" s="692"/>
      <c r="FR213" s="692"/>
      <c r="FS213" s="692"/>
      <c r="FT213" s="692"/>
      <c r="FU213" s="692"/>
      <c r="FV213" s="692"/>
      <c r="FW213" s="692"/>
      <c r="FX213" s="692"/>
      <c r="FY213" s="692"/>
      <c r="FZ213" s="692"/>
      <c r="GA213" s="692"/>
      <c r="GB213" s="692"/>
      <c r="GC213" s="692"/>
      <c r="GD213" s="692"/>
      <c r="GE213" s="692"/>
      <c r="GF213" s="692"/>
      <c r="GG213" s="692"/>
      <c r="GH213" s="692"/>
      <c r="GI213" s="692"/>
      <c r="GJ213" s="692"/>
      <c r="GK213" s="692"/>
      <c r="GL213" s="692"/>
      <c r="GM213" s="692"/>
      <c r="GN213" s="692"/>
      <c r="GO213" s="692"/>
      <c r="GP213" s="692"/>
      <c r="GQ213" s="692"/>
      <c r="GR213" s="692"/>
      <c r="GS213" s="692"/>
      <c r="GT213" s="692"/>
      <c r="GU213" s="692"/>
      <c r="GV213" s="692"/>
      <c r="GW213" s="692"/>
      <c r="GX213" s="692"/>
      <c r="GY213" s="692"/>
      <c r="GZ213" s="692"/>
      <c r="HA213" s="692"/>
      <c r="HB213" s="692"/>
      <c r="HC213" s="692"/>
      <c r="HD213" s="692"/>
      <c r="HE213" s="692"/>
      <c r="HF213" s="692"/>
      <c r="HG213" s="692"/>
      <c r="HH213" s="692"/>
      <c r="HI213" s="692"/>
      <c r="HJ213" s="692"/>
      <c r="HK213" s="692"/>
      <c r="HL213" s="692"/>
      <c r="HM213" s="692"/>
      <c r="HN213" s="692"/>
      <c r="HO213" s="692"/>
      <c r="HP213" s="692"/>
      <c r="HQ213" s="692"/>
      <c r="HR213" s="692"/>
      <c r="HS213" s="692"/>
      <c r="HT213" s="692"/>
      <c r="HU213" s="692"/>
      <c r="HV213" s="692"/>
      <c r="HW213" s="692"/>
      <c r="HX213" s="692"/>
      <c r="HY213" s="692"/>
      <c r="HZ213" s="692"/>
      <c r="IA213" s="692"/>
      <c r="IB213" s="692"/>
      <c r="IC213" s="692"/>
      <c r="ID213" s="692"/>
      <c r="IE213" s="692"/>
      <c r="IF213" s="692"/>
      <c r="IG213" s="692"/>
      <c r="IH213" s="692"/>
      <c r="II213" s="692"/>
      <c r="IJ213" s="692"/>
      <c r="IK213" s="692"/>
      <c r="IL213" s="692"/>
      <c r="IM213" s="692"/>
      <c r="IN213" s="692"/>
      <c r="IO213" s="692"/>
      <c r="IP213" s="692"/>
      <c r="IQ213" s="692"/>
      <c r="IR213" s="692"/>
      <c r="IS213" s="692"/>
      <c r="IT213" s="692"/>
      <c r="IU213" s="692"/>
      <c r="IV213" s="692"/>
      <c r="IW213" s="692"/>
      <c r="IX213" s="692"/>
      <c r="IY213" s="692"/>
      <c r="IZ213" s="692"/>
      <c r="JA213" s="692"/>
      <c r="JB213" s="692"/>
      <c r="JC213" s="692"/>
      <c r="JD213" s="692"/>
      <c r="JE213" s="692"/>
      <c r="JF213" s="692"/>
      <c r="JG213" s="692"/>
      <c r="JH213" s="692"/>
      <c r="JI213" s="692"/>
      <c r="JJ213" s="692"/>
      <c r="JK213" s="692"/>
      <c r="JL213" s="692"/>
      <c r="JM213" s="692"/>
      <c r="JN213" s="692"/>
      <c r="JO213" s="692"/>
      <c r="JP213" s="692"/>
      <c r="JQ213" s="692"/>
      <c r="JR213" s="692"/>
      <c r="JS213" s="692"/>
      <c r="JT213" s="692"/>
      <c r="JU213" s="692"/>
      <c r="JV213" s="692"/>
      <c r="JW213" s="692"/>
      <c r="JX213" s="692"/>
      <c r="JY213" s="692"/>
      <c r="JZ213" s="692"/>
      <c r="KA213" s="692"/>
      <c r="KB213" s="692"/>
      <c r="KC213" s="692"/>
      <c r="KD213" s="692"/>
      <c r="KE213" s="692"/>
      <c r="KF213" s="692"/>
      <c r="KG213" s="692"/>
      <c r="KH213" s="692"/>
      <c r="KI213" s="692"/>
      <c r="KJ213" s="692"/>
      <c r="KK213" s="692"/>
      <c r="KL213" s="692"/>
      <c r="KM213" s="692"/>
      <c r="KN213" s="692"/>
      <c r="KO213" s="692"/>
      <c r="KP213" s="692"/>
      <c r="KQ213" s="692"/>
      <c r="KR213" s="692"/>
      <c r="KS213" s="692"/>
      <c r="KT213" s="692"/>
      <c r="KU213" s="692"/>
      <c r="KV213" s="692"/>
      <c r="KW213" s="692"/>
      <c r="KX213" s="692"/>
      <c r="KY213" s="692"/>
      <c r="KZ213" s="692"/>
      <c r="LA213" s="692"/>
      <c r="LB213" s="692"/>
      <c r="LC213" s="692"/>
      <c r="LD213" s="692"/>
      <c r="LE213" s="692"/>
      <c r="LF213" s="692"/>
      <c r="LG213" s="692"/>
      <c r="LH213" s="692"/>
      <c r="LI213" s="692"/>
      <c r="LJ213" s="692"/>
      <c r="LK213" s="692"/>
      <c r="LL213" s="692"/>
      <c r="LM213" s="692"/>
      <c r="LN213" s="692"/>
      <c r="LO213" s="692"/>
      <c r="LP213" s="692"/>
      <c r="LQ213" s="692"/>
      <c r="LR213" s="692"/>
      <c r="LS213" s="692"/>
      <c r="LT213" s="692"/>
      <c r="LU213" s="692"/>
      <c r="LV213" s="692"/>
      <c r="LW213" s="692"/>
      <c r="LX213" s="692"/>
      <c r="LY213" s="692"/>
      <c r="LZ213" s="692"/>
      <c r="MA213" s="692"/>
      <c r="MB213" s="692"/>
      <c r="MC213" s="692"/>
      <c r="MD213" s="692"/>
      <c r="ME213" s="692"/>
      <c r="MF213" s="692"/>
      <c r="MG213" s="692"/>
      <c r="MH213" s="692"/>
      <c r="MI213" s="692"/>
      <c r="MJ213" s="692"/>
      <c r="MK213" s="692"/>
      <c r="ML213" s="692"/>
      <c r="MM213" s="692"/>
      <c r="MN213" s="692"/>
      <c r="MO213" s="692"/>
      <c r="MP213" s="692"/>
      <c r="MQ213" s="692"/>
      <c r="MR213" s="692"/>
      <c r="MS213" s="692"/>
      <c r="MT213" s="692"/>
      <c r="MU213" s="692"/>
      <c r="MV213" s="692"/>
      <c r="MW213" s="692"/>
      <c r="MX213" s="692"/>
      <c r="MY213" s="692"/>
      <c r="MZ213" s="692"/>
      <c r="NA213" s="692"/>
      <c r="NB213" s="692"/>
      <c r="NC213" s="692"/>
      <c r="ND213" s="692"/>
      <c r="NE213" s="692"/>
      <c r="NF213" s="692"/>
      <c r="NG213" s="692"/>
      <c r="NH213" s="692"/>
      <c r="NI213" s="692"/>
      <c r="NJ213" s="692"/>
      <c r="NK213" s="692"/>
      <c r="NL213" s="692"/>
      <c r="NM213" s="692"/>
      <c r="NN213" s="692"/>
      <c r="NO213" s="692"/>
      <c r="NP213" s="692"/>
      <c r="NQ213" s="692"/>
      <c r="NR213" s="692"/>
    </row>
    <row r="214" spans="1:382" s="692" customFormat="1" x14ac:dyDescent="0.25">
      <c r="A214" s="679"/>
      <c r="B214" s="679" t="s">
        <v>1321</v>
      </c>
      <c r="C214" s="424">
        <f>'Input Data'!E15</f>
        <v>0</v>
      </c>
      <c r="D214" s="680" t="s">
        <v>367</v>
      </c>
      <c r="E214" s="679"/>
      <c r="F214" s="215"/>
      <c r="G214" s="280"/>
    </row>
    <row r="215" spans="1:382" ht="15.75" thickBot="1" x14ac:dyDescent="0.3">
      <c r="A215" s="679"/>
      <c r="B215" s="680" t="s">
        <v>1045</v>
      </c>
      <c r="C215" s="684" t="e">
        <f>C213*1000/C214</f>
        <v>#DIV/0!</v>
      </c>
      <c r="D215" s="680" t="s">
        <v>1683</v>
      </c>
      <c r="E215" s="679"/>
      <c r="F215" s="202"/>
      <c r="G215" s="280"/>
      <c r="H215" s="692"/>
      <c r="I215" s="692"/>
      <c r="J215" s="692"/>
      <c r="K215" s="692"/>
      <c r="L215" s="692"/>
      <c r="M215" s="692"/>
      <c r="N215" s="692"/>
      <c r="O215" s="692"/>
      <c r="P215" s="692"/>
      <c r="Q215" s="692"/>
      <c r="R215" s="692"/>
      <c r="S215" s="692"/>
      <c r="T215" s="692"/>
      <c r="U215" s="692"/>
      <c r="V215" s="692"/>
      <c r="W215" s="692"/>
      <c r="X215" s="692"/>
      <c r="Y215" s="692"/>
      <c r="Z215" s="692"/>
      <c r="AA215" s="692"/>
      <c r="AB215" s="692"/>
      <c r="AC215" s="692"/>
      <c r="AD215" s="692"/>
      <c r="AE215" s="692"/>
      <c r="AF215" s="692"/>
      <c r="AG215" s="692"/>
      <c r="AH215" s="692"/>
      <c r="AI215" s="692"/>
      <c r="AJ215" s="692"/>
      <c r="AK215" s="692"/>
      <c r="AL215" s="692"/>
      <c r="AM215" s="692"/>
      <c r="AN215" s="692"/>
      <c r="AO215" s="692"/>
      <c r="AP215" s="692"/>
      <c r="AQ215" s="692"/>
      <c r="AR215" s="692"/>
      <c r="AS215" s="692"/>
      <c r="AT215" s="692"/>
      <c r="AU215" s="692"/>
      <c r="AV215" s="692"/>
      <c r="AW215" s="692"/>
      <c r="AX215" s="692"/>
      <c r="AY215" s="692"/>
      <c r="AZ215" s="692"/>
      <c r="BA215" s="692"/>
      <c r="BB215" s="692"/>
      <c r="BC215" s="692"/>
      <c r="BD215" s="692"/>
      <c r="BE215" s="692"/>
      <c r="BF215" s="692"/>
      <c r="BG215" s="692"/>
      <c r="BH215" s="692"/>
      <c r="BI215" s="692"/>
      <c r="BJ215" s="692"/>
      <c r="BK215" s="692"/>
      <c r="BL215" s="692"/>
      <c r="BM215" s="692"/>
      <c r="BN215" s="692"/>
      <c r="BO215" s="692"/>
      <c r="BP215" s="692"/>
      <c r="BQ215" s="692"/>
      <c r="BR215" s="692"/>
      <c r="BS215" s="692"/>
      <c r="BT215" s="692"/>
      <c r="BU215" s="692"/>
      <c r="BV215" s="692"/>
      <c r="BW215" s="692"/>
      <c r="BX215" s="692"/>
      <c r="BY215" s="692"/>
      <c r="BZ215" s="692"/>
      <c r="CA215" s="692"/>
      <c r="CB215" s="692"/>
      <c r="CC215" s="692"/>
      <c r="CD215" s="692"/>
      <c r="CE215" s="692"/>
      <c r="CF215" s="692"/>
      <c r="CG215" s="692"/>
      <c r="CH215" s="692"/>
      <c r="CI215" s="692"/>
      <c r="CJ215" s="692"/>
      <c r="CK215" s="692"/>
      <c r="CL215" s="692"/>
      <c r="CM215" s="692"/>
      <c r="CN215" s="692"/>
      <c r="CO215" s="692"/>
      <c r="CP215" s="692"/>
      <c r="CQ215" s="692"/>
      <c r="CR215" s="692"/>
      <c r="CS215" s="692"/>
      <c r="CT215" s="692"/>
      <c r="CU215" s="692"/>
      <c r="CV215" s="692"/>
      <c r="CW215" s="692"/>
      <c r="CX215" s="692"/>
      <c r="CY215" s="692"/>
      <c r="CZ215" s="692"/>
      <c r="DA215" s="692"/>
      <c r="DB215" s="692"/>
      <c r="DC215" s="692"/>
      <c r="DD215" s="692"/>
      <c r="DE215" s="692"/>
      <c r="DF215" s="692"/>
      <c r="DG215" s="692"/>
      <c r="DH215" s="692"/>
      <c r="DI215" s="692"/>
      <c r="DJ215" s="692"/>
      <c r="DK215" s="692"/>
      <c r="DL215" s="692"/>
      <c r="DM215" s="692"/>
      <c r="DN215" s="692"/>
      <c r="DO215" s="692"/>
      <c r="DP215" s="692"/>
      <c r="DQ215" s="692"/>
      <c r="DR215" s="692"/>
      <c r="DS215" s="692"/>
      <c r="DT215" s="692"/>
      <c r="DU215" s="692"/>
      <c r="DV215" s="692"/>
      <c r="DW215" s="692"/>
      <c r="DX215" s="692"/>
      <c r="DY215" s="692"/>
      <c r="DZ215" s="692"/>
      <c r="EA215" s="692"/>
      <c r="EB215" s="692"/>
      <c r="EC215" s="692"/>
      <c r="ED215" s="692"/>
      <c r="EE215" s="692"/>
      <c r="EF215" s="692"/>
      <c r="EG215" s="692"/>
      <c r="EH215" s="692"/>
      <c r="EI215" s="692"/>
      <c r="EJ215" s="692"/>
      <c r="EK215" s="692"/>
      <c r="EL215" s="692"/>
      <c r="EM215" s="692"/>
      <c r="EN215" s="692"/>
      <c r="EO215" s="692"/>
      <c r="EP215" s="692"/>
      <c r="EQ215" s="692"/>
      <c r="ER215" s="692"/>
      <c r="ES215" s="692"/>
      <c r="ET215" s="692"/>
      <c r="EU215" s="692"/>
      <c r="EV215" s="692"/>
      <c r="EW215" s="692"/>
      <c r="EX215" s="692"/>
      <c r="EY215" s="692"/>
      <c r="EZ215" s="692"/>
      <c r="FA215" s="692"/>
      <c r="FB215" s="692"/>
      <c r="FC215" s="692"/>
      <c r="FD215" s="692"/>
      <c r="FE215" s="692"/>
      <c r="FF215" s="692"/>
      <c r="FG215" s="692"/>
      <c r="FH215" s="692"/>
      <c r="FI215" s="692"/>
      <c r="FJ215" s="692"/>
      <c r="FK215" s="692"/>
      <c r="FL215" s="692"/>
      <c r="FM215" s="692"/>
      <c r="FN215" s="692"/>
      <c r="FO215" s="692"/>
      <c r="FP215" s="692"/>
      <c r="FQ215" s="692"/>
      <c r="FR215" s="692"/>
      <c r="FS215" s="692"/>
      <c r="FT215" s="692"/>
      <c r="FU215" s="692"/>
      <c r="FV215" s="692"/>
      <c r="FW215" s="692"/>
      <c r="FX215" s="692"/>
      <c r="FY215" s="692"/>
      <c r="FZ215" s="692"/>
      <c r="GA215" s="692"/>
      <c r="GB215" s="692"/>
      <c r="GC215" s="692"/>
      <c r="GD215" s="692"/>
      <c r="GE215" s="692"/>
      <c r="GF215" s="692"/>
      <c r="GG215" s="692"/>
      <c r="GH215" s="692"/>
      <c r="GI215" s="692"/>
      <c r="GJ215" s="692"/>
      <c r="GK215" s="692"/>
      <c r="GL215" s="692"/>
      <c r="GM215" s="692"/>
      <c r="GN215" s="692"/>
      <c r="GO215" s="692"/>
      <c r="GP215" s="692"/>
      <c r="GQ215" s="692"/>
      <c r="GR215" s="692"/>
      <c r="GS215" s="692"/>
      <c r="GT215" s="692"/>
      <c r="GU215" s="692"/>
      <c r="GV215" s="692"/>
      <c r="GW215" s="692"/>
      <c r="GX215" s="692"/>
      <c r="GY215" s="692"/>
      <c r="GZ215" s="692"/>
      <c r="HA215" s="692"/>
      <c r="HB215" s="692"/>
      <c r="HC215" s="692"/>
      <c r="HD215" s="692"/>
      <c r="HE215" s="692"/>
      <c r="HF215" s="692"/>
      <c r="HG215" s="692"/>
      <c r="HH215" s="692"/>
      <c r="HI215" s="692"/>
      <c r="HJ215" s="692"/>
      <c r="HK215" s="692"/>
      <c r="HL215" s="692"/>
      <c r="HM215" s="692"/>
      <c r="HN215" s="692"/>
      <c r="HO215" s="692"/>
      <c r="HP215" s="692"/>
      <c r="HQ215" s="692"/>
      <c r="HR215" s="692"/>
      <c r="HS215" s="692"/>
      <c r="HT215" s="692"/>
      <c r="HU215" s="692"/>
      <c r="HV215" s="692"/>
      <c r="HW215" s="692"/>
      <c r="HX215" s="692"/>
      <c r="HY215" s="692"/>
      <c r="HZ215" s="692"/>
      <c r="IA215" s="692"/>
      <c r="IB215" s="692"/>
      <c r="IC215" s="692"/>
      <c r="ID215" s="692"/>
      <c r="IE215" s="692"/>
      <c r="IF215" s="692"/>
      <c r="IG215" s="692"/>
      <c r="IH215" s="692"/>
      <c r="II215" s="692"/>
      <c r="IJ215" s="692"/>
      <c r="IK215" s="692"/>
      <c r="IL215" s="692"/>
      <c r="IM215" s="692"/>
      <c r="IN215" s="692"/>
      <c r="IO215" s="692"/>
      <c r="IP215" s="692"/>
      <c r="IQ215" s="692"/>
      <c r="IR215" s="692"/>
      <c r="IS215" s="692"/>
      <c r="IT215" s="692"/>
      <c r="IU215" s="692"/>
      <c r="IV215" s="692"/>
      <c r="IW215" s="692"/>
      <c r="IX215" s="692"/>
      <c r="IY215" s="692"/>
      <c r="IZ215" s="692"/>
      <c r="JA215" s="692"/>
      <c r="JB215" s="692"/>
      <c r="JC215" s="692"/>
      <c r="JD215" s="692"/>
      <c r="JE215" s="692"/>
      <c r="JF215" s="692"/>
      <c r="JG215" s="692"/>
      <c r="JH215" s="692"/>
      <c r="JI215" s="692"/>
      <c r="JJ215" s="692"/>
      <c r="JK215" s="692"/>
      <c r="JL215" s="692"/>
      <c r="JM215" s="692"/>
      <c r="JN215" s="692"/>
      <c r="JO215" s="692"/>
      <c r="JP215" s="692"/>
      <c r="JQ215" s="692"/>
      <c r="JR215" s="692"/>
      <c r="JS215" s="692"/>
      <c r="JT215" s="692"/>
      <c r="JU215" s="692"/>
      <c r="JV215" s="692"/>
      <c r="JW215" s="692"/>
      <c r="JX215" s="692"/>
      <c r="JY215" s="692"/>
      <c r="JZ215" s="692"/>
      <c r="KA215" s="692"/>
      <c r="KB215" s="692"/>
      <c r="KC215" s="692"/>
      <c r="KD215" s="692"/>
      <c r="KE215" s="692"/>
      <c r="KF215" s="692"/>
      <c r="KG215" s="692"/>
      <c r="KH215" s="692"/>
      <c r="KI215" s="692"/>
      <c r="KJ215" s="692"/>
      <c r="KK215" s="692"/>
      <c r="KL215" s="692"/>
      <c r="KM215" s="692"/>
      <c r="KN215" s="692"/>
      <c r="KO215" s="692"/>
      <c r="KP215" s="692"/>
      <c r="KQ215" s="692"/>
      <c r="KR215" s="692"/>
      <c r="KS215" s="692"/>
      <c r="KT215" s="692"/>
      <c r="KU215" s="692"/>
      <c r="KV215" s="692"/>
      <c r="KW215" s="692"/>
      <c r="KX215" s="692"/>
      <c r="KY215" s="692"/>
      <c r="KZ215" s="692"/>
      <c r="LA215" s="692"/>
      <c r="LB215" s="692"/>
      <c r="LC215" s="692"/>
      <c r="LD215" s="692"/>
      <c r="LE215" s="692"/>
      <c r="LF215" s="692"/>
      <c r="LG215" s="692"/>
      <c r="LH215" s="692"/>
      <c r="LI215" s="692"/>
      <c r="LJ215" s="692"/>
      <c r="LK215" s="692"/>
      <c r="LL215" s="692"/>
      <c r="LM215" s="692"/>
      <c r="LN215" s="692"/>
      <c r="LO215" s="692"/>
      <c r="LP215" s="692"/>
      <c r="LQ215" s="692"/>
      <c r="LR215" s="692"/>
      <c r="LS215" s="692"/>
      <c r="LT215" s="692"/>
      <c r="LU215" s="692"/>
      <c r="LV215" s="692"/>
      <c r="LW215" s="692"/>
      <c r="LX215" s="692"/>
      <c r="LY215" s="692"/>
      <c r="LZ215" s="692"/>
      <c r="MA215" s="692"/>
      <c r="MB215" s="692"/>
      <c r="MC215" s="692"/>
      <c r="MD215" s="692"/>
      <c r="ME215" s="692"/>
      <c r="MF215" s="692"/>
      <c r="MG215" s="692"/>
      <c r="MH215" s="692"/>
      <c r="MI215" s="692"/>
      <c r="MJ215" s="692"/>
      <c r="MK215" s="692"/>
      <c r="ML215" s="692"/>
      <c r="MM215" s="692"/>
      <c r="MN215" s="692"/>
      <c r="MO215" s="692"/>
      <c r="MP215" s="692"/>
      <c r="MQ215" s="692"/>
      <c r="MR215" s="692"/>
      <c r="MS215" s="692"/>
      <c r="MT215" s="692"/>
      <c r="MU215" s="692"/>
      <c r="MV215" s="692"/>
      <c r="MW215" s="692"/>
      <c r="MX215" s="692"/>
      <c r="MY215" s="692"/>
      <c r="MZ215" s="692"/>
      <c r="NA215" s="692"/>
      <c r="NB215" s="692"/>
      <c r="NC215" s="692"/>
      <c r="ND215" s="692"/>
      <c r="NE215" s="692"/>
      <c r="NF215" s="692"/>
      <c r="NG215" s="692"/>
      <c r="NH215" s="692"/>
      <c r="NI215" s="692"/>
      <c r="NJ215" s="692"/>
      <c r="NK215" s="692"/>
      <c r="NL215" s="692"/>
      <c r="NM215" s="692"/>
      <c r="NN215" s="692"/>
      <c r="NO215" s="692"/>
      <c r="NP215" s="692"/>
      <c r="NQ215" s="692"/>
      <c r="NR215" s="692"/>
    </row>
    <row r="216" spans="1:382" ht="15.75" thickBot="1" x14ac:dyDescent="0.3">
      <c r="A216" s="679"/>
      <c r="B216" s="680" t="s">
        <v>1047</v>
      </c>
      <c r="C216" s="422">
        <f>'Input Data'!$E$297</f>
        <v>0</v>
      </c>
      <c r="D216" s="680" t="s">
        <v>1048</v>
      </c>
      <c r="E216" s="679"/>
      <c r="F216" s="213" t="s">
        <v>1049</v>
      </c>
      <c r="G216" s="280"/>
      <c r="H216" s="692"/>
      <c r="I216" s="692"/>
      <c r="J216" s="692"/>
      <c r="K216" s="692"/>
      <c r="L216" s="692"/>
      <c r="M216" s="692"/>
      <c r="N216" s="692"/>
      <c r="O216" s="692"/>
      <c r="P216" s="692"/>
      <c r="Q216" s="692"/>
      <c r="R216" s="692"/>
      <c r="S216" s="692"/>
      <c r="T216" s="692"/>
      <c r="U216" s="692"/>
      <c r="V216" s="692"/>
      <c r="W216" s="692"/>
      <c r="X216" s="692"/>
      <c r="Y216" s="692"/>
      <c r="Z216" s="692"/>
      <c r="AA216" s="692"/>
      <c r="AB216" s="692"/>
      <c r="AC216" s="692"/>
      <c r="AD216" s="692"/>
      <c r="AE216" s="692"/>
      <c r="AF216" s="692"/>
      <c r="AG216" s="692"/>
      <c r="AH216" s="692"/>
      <c r="AI216" s="692"/>
      <c r="AJ216" s="692"/>
      <c r="AK216" s="692"/>
      <c r="AL216" s="692"/>
      <c r="AM216" s="692"/>
      <c r="AN216" s="692"/>
      <c r="AO216" s="692"/>
      <c r="AP216" s="692"/>
      <c r="AQ216" s="692"/>
      <c r="AR216" s="692"/>
      <c r="AS216" s="692"/>
      <c r="AT216" s="692"/>
      <c r="AU216" s="692"/>
      <c r="AV216" s="692"/>
      <c r="AW216" s="692"/>
      <c r="AX216" s="692"/>
      <c r="AY216" s="692"/>
      <c r="AZ216" s="692"/>
      <c r="BA216" s="692"/>
      <c r="BB216" s="692"/>
      <c r="BC216" s="692"/>
      <c r="BD216" s="692"/>
      <c r="BE216" s="692"/>
      <c r="BF216" s="692"/>
      <c r="BG216" s="692"/>
      <c r="BH216" s="692"/>
      <c r="BI216" s="692"/>
      <c r="BJ216" s="692"/>
      <c r="BK216" s="692"/>
      <c r="BL216" s="692"/>
      <c r="BM216" s="692"/>
      <c r="BN216" s="692"/>
      <c r="BO216" s="692"/>
      <c r="BP216" s="692"/>
      <c r="BQ216" s="692"/>
      <c r="BR216" s="692"/>
      <c r="BS216" s="692"/>
      <c r="BT216" s="692"/>
      <c r="BU216" s="692"/>
      <c r="BV216" s="692"/>
      <c r="BW216" s="692"/>
      <c r="BX216" s="692"/>
      <c r="BY216" s="692"/>
      <c r="BZ216" s="692"/>
      <c r="CA216" s="692"/>
      <c r="CB216" s="692"/>
      <c r="CC216" s="692"/>
      <c r="CD216" s="692"/>
      <c r="CE216" s="692"/>
      <c r="CF216" s="692"/>
      <c r="CG216" s="692"/>
      <c r="CH216" s="692"/>
      <c r="CI216" s="692"/>
      <c r="CJ216" s="692"/>
      <c r="CK216" s="692"/>
      <c r="CL216" s="692"/>
      <c r="CM216" s="692"/>
      <c r="CN216" s="692"/>
      <c r="CO216" s="692"/>
      <c r="CP216" s="692"/>
      <c r="CQ216" s="692"/>
      <c r="CR216" s="692"/>
      <c r="CS216" s="692"/>
      <c r="CT216" s="692"/>
      <c r="CU216" s="692"/>
      <c r="CV216" s="692"/>
      <c r="CW216" s="692"/>
      <c r="CX216" s="692"/>
      <c r="CY216" s="692"/>
      <c r="CZ216" s="692"/>
      <c r="DA216" s="692"/>
      <c r="DB216" s="692"/>
      <c r="DC216" s="692"/>
      <c r="DD216" s="692"/>
      <c r="DE216" s="692"/>
      <c r="DF216" s="692"/>
      <c r="DG216" s="692"/>
      <c r="DH216" s="692"/>
      <c r="DI216" s="692"/>
      <c r="DJ216" s="692"/>
      <c r="DK216" s="692"/>
      <c r="DL216" s="692"/>
      <c r="DM216" s="692"/>
      <c r="DN216" s="692"/>
      <c r="DO216" s="692"/>
      <c r="DP216" s="692"/>
      <c r="DQ216" s="692"/>
      <c r="DR216" s="692"/>
      <c r="DS216" s="692"/>
      <c r="DT216" s="692"/>
      <c r="DU216" s="692"/>
      <c r="DV216" s="692"/>
      <c r="DW216" s="692"/>
      <c r="DX216" s="692"/>
      <c r="DY216" s="692"/>
      <c r="DZ216" s="692"/>
      <c r="EA216" s="692"/>
      <c r="EB216" s="692"/>
      <c r="EC216" s="692"/>
      <c r="ED216" s="692"/>
      <c r="EE216" s="692"/>
      <c r="EF216" s="692"/>
      <c r="EG216" s="692"/>
      <c r="EH216" s="692"/>
      <c r="EI216" s="692"/>
      <c r="EJ216" s="692"/>
      <c r="EK216" s="692"/>
      <c r="EL216" s="692"/>
      <c r="EM216" s="692"/>
      <c r="EN216" s="692"/>
      <c r="EO216" s="692"/>
      <c r="EP216" s="692"/>
      <c r="EQ216" s="692"/>
      <c r="ER216" s="692"/>
      <c r="ES216" s="692"/>
      <c r="ET216" s="692"/>
      <c r="EU216" s="692"/>
      <c r="EV216" s="692"/>
      <c r="EW216" s="692"/>
      <c r="EX216" s="692"/>
      <c r="EY216" s="692"/>
      <c r="EZ216" s="692"/>
      <c r="FA216" s="692"/>
      <c r="FB216" s="692"/>
      <c r="FC216" s="692"/>
      <c r="FD216" s="692"/>
      <c r="FE216" s="692"/>
      <c r="FF216" s="692"/>
      <c r="FG216" s="692"/>
      <c r="FH216" s="692"/>
      <c r="FI216" s="692"/>
      <c r="FJ216" s="692"/>
      <c r="FK216" s="692"/>
      <c r="FL216" s="692"/>
      <c r="FM216" s="692"/>
      <c r="FN216" s="692"/>
      <c r="FO216" s="692"/>
      <c r="FP216" s="692"/>
      <c r="FQ216" s="692"/>
      <c r="FR216" s="692"/>
      <c r="FS216" s="692"/>
      <c r="FT216" s="692"/>
      <c r="FU216" s="692"/>
      <c r="FV216" s="692"/>
      <c r="FW216" s="692"/>
      <c r="FX216" s="692"/>
      <c r="FY216" s="692"/>
      <c r="FZ216" s="692"/>
      <c r="GA216" s="692"/>
      <c r="GB216" s="692"/>
      <c r="GC216" s="692"/>
      <c r="GD216" s="692"/>
      <c r="GE216" s="692"/>
      <c r="GF216" s="692"/>
      <c r="GG216" s="692"/>
      <c r="GH216" s="692"/>
      <c r="GI216" s="692"/>
      <c r="GJ216" s="692"/>
      <c r="GK216" s="692"/>
      <c r="GL216" s="692"/>
      <c r="GM216" s="692"/>
      <c r="GN216" s="692"/>
      <c r="GO216" s="692"/>
      <c r="GP216" s="692"/>
      <c r="GQ216" s="692"/>
      <c r="GR216" s="692"/>
      <c r="GS216" s="692"/>
      <c r="GT216" s="692"/>
      <c r="GU216" s="692"/>
      <c r="GV216" s="692"/>
      <c r="GW216" s="692"/>
      <c r="GX216" s="692"/>
      <c r="GY216" s="692"/>
      <c r="GZ216" s="692"/>
      <c r="HA216" s="692"/>
      <c r="HB216" s="692"/>
      <c r="HC216" s="692"/>
      <c r="HD216" s="692"/>
      <c r="HE216" s="692"/>
      <c r="HF216" s="692"/>
      <c r="HG216" s="692"/>
      <c r="HH216" s="692"/>
      <c r="HI216" s="692"/>
      <c r="HJ216" s="692"/>
      <c r="HK216" s="692"/>
      <c r="HL216" s="692"/>
      <c r="HM216" s="692"/>
      <c r="HN216" s="692"/>
      <c r="HO216" s="692"/>
      <c r="HP216" s="692"/>
      <c r="HQ216" s="692"/>
      <c r="HR216" s="692"/>
      <c r="HS216" s="692"/>
      <c r="HT216" s="692"/>
      <c r="HU216" s="692"/>
      <c r="HV216" s="692"/>
      <c r="HW216" s="692"/>
      <c r="HX216" s="692"/>
      <c r="HY216" s="692"/>
      <c r="HZ216" s="692"/>
      <c r="IA216" s="692"/>
      <c r="IB216" s="692"/>
      <c r="IC216" s="692"/>
      <c r="ID216" s="692"/>
      <c r="IE216" s="692"/>
      <c r="IF216" s="692"/>
      <c r="IG216" s="692"/>
      <c r="IH216" s="692"/>
      <c r="II216" s="692"/>
      <c r="IJ216" s="692"/>
      <c r="IK216" s="692"/>
      <c r="IL216" s="692"/>
      <c r="IM216" s="692"/>
      <c r="IN216" s="692"/>
      <c r="IO216" s="692"/>
      <c r="IP216" s="692"/>
      <c r="IQ216" s="692"/>
      <c r="IR216" s="692"/>
      <c r="IS216" s="692"/>
      <c r="IT216" s="692"/>
      <c r="IU216" s="692"/>
      <c r="IV216" s="692"/>
      <c r="IW216" s="692"/>
      <c r="IX216" s="692"/>
      <c r="IY216" s="692"/>
      <c r="IZ216" s="692"/>
      <c r="JA216" s="692"/>
      <c r="JB216" s="692"/>
      <c r="JC216" s="692"/>
      <c r="JD216" s="692"/>
      <c r="JE216" s="692"/>
      <c r="JF216" s="692"/>
      <c r="JG216" s="692"/>
      <c r="JH216" s="692"/>
      <c r="JI216" s="692"/>
      <c r="JJ216" s="692"/>
      <c r="JK216" s="692"/>
      <c r="JL216" s="692"/>
      <c r="JM216" s="692"/>
      <c r="JN216" s="692"/>
      <c r="JO216" s="692"/>
      <c r="JP216" s="692"/>
      <c r="JQ216" s="692"/>
      <c r="JR216" s="692"/>
      <c r="JS216" s="692"/>
      <c r="JT216" s="692"/>
      <c r="JU216" s="692"/>
      <c r="JV216" s="692"/>
      <c r="JW216" s="692"/>
      <c r="JX216" s="692"/>
      <c r="JY216" s="692"/>
      <c r="JZ216" s="692"/>
      <c r="KA216" s="692"/>
      <c r="KB216" s="692"/>
      <c r="KC216" s="692"/>
      <c r="KD216" s="692"/>
      <c r="KE216" s="692"/>
      <c r="KF216" s="692"/>
      <c r="KG216" s="692"/>
      <c r="KH216" s="692"/>
      <c r="KI216" s="692"/>
      <c r="KJ216" s="692"/>
      <c r="KK216" s="692"/>
      <c r="KL216" s="692"/>
      <c r="KM216" s="692"/>
      <c r="KN216" s="692"/>
      <c r="KO216" s="692"/>
      <c r="KP216" s="692"/>
      <c r="KQ216" s="692"/>
      <c r="KR216" s="692"/>
      <c r="KS216" s="692"/>
      <c r="KT216" s="692"/>
      <c r="KU216" s="692"/>
      <c r="KV216" s="692"/>
      <c r="KW216" s="692"/>
      <c r="KX216" s="692"/>
      <c r="KY216" s="692"/>
      <c r="KZ216" s="692"/>
      <c r="LA216" s="692"/>
      <c r="LB216" s="692"/>
      <c r="LC216" s="692"/>
      <c r="LD216" s="692"/>
      <c r="LE216" s="692"/>
      <c r="LF216" s="692"/>
      <c r="LG216" s="692"/>
      <c r="LH216" s="692"/>
      <c r="LI216" s="692"/>
      <c r="LJ216" s="692"/>
      <c r="LK216" s="692"/>
      <c r="LL216" s="692"/>
      <c r="LM216" s="692"/>
      <c r="LN216" s="692"/>
      <c r="LO216" s="692"/>
      <c r="LP216" s="692"/>
      <c r="LQ216" s="692"/>
      <c r="LR216" s="692"/>
      <c r="LS216" s="692"/>
      <c r="LT216" s="692"/>
      <c r="LU216" s="692"/>
      <c r="LV216" s="692"/>
      <c r="LW216" s="692"/>
      <c r="LX216" s="692"/>
      <c r="LY216" s="692"/>
      <c r="LZ216" s="692"/>
      <c r="MA216" s="692"/>
      <c r="MB216" s="692"/>
      <c r="MC216" s="692"/>
      <c r="MD216" s="692"/>
      <c r="ME216" s="692"/>
      <c r="MF216" s="692"/>
      <c r="MG216" s="692"/>
      <c r="MH216" s="692"/>
      <c r="MI216" s="692"/>
      <c r="MJ216" s="692"/>
      <c r="MK216" s="692"/>
      <c r="ML216" s="692"/>
      <c r="MM216" s="692"/>
      <c r="MN216" s="692"/>
      <c r="MO216" s="692"/>
      <c r="MP216" s="692"/>
      <c r="MQ216" s="692"/>
      <c r="MR216" s="692"/>
      <c r="MS216" s="692"/>
      <c r="MT216" s="692"/>
      <c r="MU216" s="692"/>
      <c r="MV216" s="692"/>
      <c r="MW216" s="692"/>
      <c r="MX216" s="692"/>
      <c r="MY216" s="692"/>
      <c r="MZ216" s="692"/>
      <c r="NA216" s="692"/>
      <c r="NB216" s="692"/>
      <c r="NC216" s="692"/>
      <c r="ND216" s="692"/>
      <c r="NE216" s="692"/>
      <c r="NF216" s="692"/>
      <c r="NG216" s="692"/>
      <c r="NH216" s="692"/>
      <c r="NI216" s="692"/>
      <c r="NJ216" s="692"/>
      <c r="NK216" s="692"/>
      <c r="NL216" s="692"/>
      <c r="NM216" s="692"/>
      <c r="NN216" s="692"/>
      <c r="NO216" s="692"/>
      <c r="NP216" s="692"/>
      <c r="NQ216" s="692"/>
      <c r="NR216" s="692"/>
    </row>
    <row r="217" spans="1:382" ht="15.75" thickBot="1" x14ac:dyDescent="0.3">
      <c r="A217" s="8"/>
      <c r="B217" s="189" t="s">
        <v>1684</v>
      </c>
      <c r="C217" s="408">
        <f>C213*1000*C216</f>
        <v>0</v>
      </c>
      <c r="D217" s="680" t="s">
        <v>1575</v>
      </c>
      <c r="E217" s="679"/>
      <c r="F217" s="216"/>
      <c r="G217" s="280"/>
      <c r="H217" s="692"/>
      <c r="I217" s="692"/>
      <c r="J217" s="692"/>
      <c r="K217" s="692"/>
      <c r="L217" s="692"/>
      <c r="M217" s="692"/>
      <c r="N217" s="692"/>
      <c r="O217" s="692"/>
      <c r="P217" s="692"/>
      <c r="Q217" s="692"/>
      <c r="R217" s="692"/>
      <c r="S217" s="692"/>
      <c r="T217" s="692"/>
      <c r="U217" s="692"/>
      <c r="V217" s="692"/>
      <c r="W217" s="692"/>
      <c r="X217" s="692"/>
      <c r="Y217" s="692"/>
      <c r="Z217" s="692"/>
      <c r="AA217" s="692"/>
      <c r="AB217" s="692"/>
      <c r="AC217" s="692"/>
      <c r="AD217" s="692"/>
      <c r="AE217" s="692"/>
      <c r="AF217" s="692"/>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692"/>
      <c r="BB217" s="692"/>
      <c r="BC217" s="692"/>
      <c r="BD217" s="692"/>
      <c r="BE217" s="692"/>
      <c r="BF217" s="692"/>
      <c r="BG217" s="692"/>
      <c r="BH217" s="692"/>
      <c r="BI217" s="692"/>
      <c r="BJ217" s="692"/>
      <c r="BK217" s="692"/>
      <c r="BL217" s="692"/>
      <c r="BM217" s="692"/>
      <c r="BN217" s="692"/>
      <c r="BO217" s="692"/>
      <c r="BP217" s="692"/>
      <c r="BQ217" s="692"/>
      <c r="BR217" s="692"/>
      <c r="BS217" s="692"/>
      <c r="BT217" s="692"/>
      <c r="BU217" s="692"/>
      <c r="BV217" s="692"/>
      <c r="BW217" s="692"/>
      <c r="BX217" s="692"/>
      <c r="BY217" s="692"/>
      <c r="BZ217" s="692"/>
      <c r="CA217" s="692"/>
      <c r="CB217" s="692"/>
      <c r="CC217" s="692"/>
      <c r="CD217" s="692"/>
      <c r="CE217" s="692"/>
      <c r="CF217" s="692"/>
      <c r="CG217" s="692"/>
      <c r="CH217" s="692"/>
      <c r="CI217" s="692"/>
      <c r="CJ217" s="692"/>
      <c r="CK217" s="692"/>
      <c r="CL217" s="692"/>
      <c r="CM217" s="692"/>
      <c r="CN217" s="692"/>
      <c r="CO217" s="692"/>
      <c r="CP217" s="692"/>
      <c r="CQ217" s="692"/>
      <c r="CR217" s="692"/>
      <c r="CS217" s="692"/>
      <c r="CT217" s="692"/>
      <c r="CU217" s="692"/>
      <c r="CV217" s="692"/>
      <c r="CW217" s="692"/>
      <c r="CX217" s="692"/>
      <c r="CY217" s="692"/>
      <c r="CZ217" s="692"/>
      <c r="DA217" s="692"/>
      <c r="DB217" s="692"/>
      <c r="DC217" s="692"/>
      <c r="DD217" s="692"/>
      <c r="DE217" s="692"/>
      <c r="DF217" s="692"/>
      <c r="DG217" s="692"/>
      <c r="DH217" s="692"/>
      <c r="DI217" s="692"/>
      <c r="DJ217" s="692"/>
      <c r="DK217" s="692"/>
      <c r="DL217" s="692"/>
      <c r="DM217" s="692"/>
      <c r="DN217" s="692"/>
      <c r="DO217" s="692"/>
      <c r="DP217" s="692"/>
      <c r="DQ217" s="692"/>
      <c r="DR217" s="692"/>
      <c r="DS217" s="692"/>
      <c r="DT217" s="692"/>
      <c r="DU217" s="692"/>
      <c r="DV217" s="692"/>
      <c r="DW217" s="692"/>
      <c r="DX217" s="692"/>
      <c r="DY217" s="692"/>
      <c r="DZ217" s="692"/>
      <c r="EA217" s="692"/>
      <c r="EB217" s="692"/>
      <c r="EC217" s="692"/>
      <c r="ED217" s="692"/>
      <c r="EE217" s="692"/>
      <c r="EF217" s="692"/>
      <c r="EG217" s="692"/>
      <c r="EH217" s="692"/>
      <c r="EI217" s="692"/>
      <c r="EJ217" s="692"/>
      <c r="EK217" s="692"/>
      <c r="EL217" s="692"/>
      <c r="EM217" s="692"/>
      <c r="EN217" s="692"/>
      <c r="EO217" s="692"/>
      <c r="EP217" s="692"/>
      <c r="EQ217" s="692"/>
      <c r="ER217" s="692"/>
      <c r="ES217" s="692"/>
      <c r="ET217" s="692"/>
      <c r="EU217" s="692"/>
      <c r="EV217" s="692"/>
      <c r="EW217" s="692"/>
      <c r="EX217" s="692"/>
      <c r="EY217" s="692"/>
      <c r="EZ217" s="692"/>
      <c r="FA217" s="692"/>
      <c r="FB217" s="692"/>
      <c r="FC217" s="692"/>
      <c r="FD217" s="692"/>
      <c r="FE217" s="692"/>
      <c r="FF217" s="692"/>
      <c r="FG217" s="692"/>
      <c r="FH217" s="692"/>
      <c r="FI217" s="692"/>
      <c r="FJ217" s="692"/>
      <c r="FK217" s="692"/>
      <c r="FL217" s="692"/>
      <c r="FM217" s="692"/>
      <c r="FN217" s="692"/>
      <c r="FO217" s="692"/>
      <c r="FP217" s="692"/>
      <c r="FQ217" s="692"/>
      <c r="FR217" s="692"/>
      <c r="FS217" s="692"/>
      <c r="FT217" s="692"/>
      <c r="FU217" s="692"/>
      <c r="FV217" s="692"/>
      <c r="FW217" s="692"/>
      <c r="FX217" s="692"/>
      <c r="FY217" s="692"/>
      <c r="FZ217" s="692"/>
      <c r="GA217" s="692"/>
      <c r="GB217" s="692"/>
      <c r="GC217" s="692"/>
      <c r="GD217" s="692"/>
      <c r="GE217" s="692"/>
      <c r="GF217" s="692"/>
      <c r="GG217" s="692"/>
      <c r="GH217" s="692"/>
      <c r="GI217" s="692"/>
      <c r="GJ217" s="692"/>
      <c r="GK217" s="692"/>
      <c r="GL217" s="692"/>
      <c r="GM217" s="692"/>
      <c r="GN217" s="692"/>
      <c r="GO217" s="692"/>
      <c r="GP217" s="692"/>
      <c r="GQ217" s="692"/>
      <c r="GR217" s="692"/>
      <c r="GS217" s="692"/>
      <c r="GT217" s="692"/>
      <c r="GU217" s="692"/>
      <c r="GV217" s="692"/>
      <c r="GW217" s="692"/>
      <c r="GX217" s="692"/>
      <c r="GY217" s="692"/>
      <c r="GZ217" s="692"/>
      <c r="HA217" s="692"/>
      <c r="HB217" s="692"/>
      <c r="HC217" s="692"/>
      <c r="HD217" s="692"/>
      <c r="HE217" s="692"/>
      <c r="HF217" s="692"/>
      <c r="HG217" s="692"/>
      <c r="HH217" s="692"/>
      <c r="HI217" s="692"/>
      <c r="HJ217" s="692"/>
      <c r="HK217" s="692"/>
      <c r="HL217" s="692"/>
      <c r="HM217" s="692"/>
      <c r="HN217" s="692"/>
      <c r="HO217" s="692"/>
      <c r="HP217" s="692"/>
      <c r="HQ217" s="692"/>
      <c r="HR217" s="692"/>
      <c r="HS217" s="692"/>
      <c r="HT217" s="692"/>
      <c r="HU217" s="692"/>
      <c r="HV217" s="692"/>
      <c r="HW217" s="692"/>
      <c r="HX217" s="692"/>
      <c r="HY217" s="692"/>
      <c r="HZ217" s="692"/>
      <c r="IA217" s="692"/>
      <c r="IB217" s="692"/>
      <c r="IC217" s="692"/>
      <c r="ID217" s="692"/>
      <c r="IE217" s="692"/>
      <c r="IF217" s="692"/>
      <c r="IG217" s="692"/>
      <c r="IH217" s="692"/>
      <c r="II217" s="692"/>
      <c r="IJ217" s="692"/>
      <c r="IK217" s="692"/>
      <c r="IL217" s="692"/>
      <c r="IM217" s="692"/>
      <c r="IN217" s="692"/>
      <c r="IO217" s="692"/>
      <c r="IP217" s="692"/>
      <c r="IQ217" s="692"/>
      <c r="IR217" s="692"/>
      <c r="IS217" s="692"/>
      <c r="IT217" s="692"/>
      <c r="IU217" s="692"/>
      <c r="IV217" s="692"/>
      <c r="IW217" s="692"/>
      <c r="IX217" s="692"/>
      <c r="IY217" s="692"/>
      <c r="IZ217" s="692"/>
      <c r="JA217" s="692"/>
      <c r="JB217" s="692"/>
      <c r="JC217" s="692"/>
      <c r="JD217" s="692"/>
      <c r="JE217" s="692"/>
      <c r="JF217" s="692"/>
      <c r="JG217" s="692"/>
      <c r="JH217" s="692"/>
      <c r="JI217" s="692"/>
      <c r="JJ217" s="692"/>
      <c r="JK217" s="692"/>
      <c r="JL217" s="692"/>
      <c r="JM217" s="692"/>
      <c r="JN217" s="692"/>
      <c r="JO217" s="692"/>
      <c r="JP217" s="692"/>
      <c r="JQ217" s="692"/>
      <c r="JR217" s="692"/>
      <c r="JS217" s="692"/>
      <c r="JT217" s="692"/>
      <c r="JU217" s="692"/>
      <c r="JV217" s="692"/>
      <c r="JW217" s="692"/>
      <c r="JX217" s="692"/>
      <c r="JY217" s="692"/>
      <c r="JZ217" s="692"/>
      <c r="KA217" s="692"/>
      <c r="KB217" s="692"/>
      <c r="KC217" s="692"/>
      <c r="KD217" s="692"/>
      <c r="KE217" s="692"/>
      <c r="KF217" s="692"/>
      <c r="KG217" s="692"/>
      <c r="KH217" s="692"/>
      <c r="KI217" s="692"/>
      <c r="KJ217" s="692"/>
      <c r="KK217" s="692"/>
      <c r="KL217" s="692"/>
      <c r="KM217" s="692"/>
      <c r="KN217" s="692"/>
      <c r="KO217" s="692"/>
      <c r="KP217" s="692"/>
      <c r="KQ217" s="692"/>
      <c r="KR217" s="692"/>
      <c r="KS217" s="692"/>
      <c r="KT217" s="692"/>
      <c r="KU217" s="692"/>
      <c r="KV217" s="692"/>
      <c r="KW217" s="692"/>
      <c r="KX217" s="692"/>
      <c r="KY217" s="692"/>
      <c r="KZ217" s="692"/>
      <c r="LA217" s="692"/>
      <c r="LB217" s="692"/>
      <c r="LC217" s="692"/>
      <c r="LD217" s="692"/>
      <c r="LE217" s="692"/>
      <c r="LF217" s="692"/>
      <c r="LG217" s="692"/>
      <c r="LH217" s="692"/>
      <c r="LI217" s="692"/>
      <c r="LJ217" s="692"/>
      <c r="LK217" s="692"/>
      <c r="LL217" s="692"/>
      <c r="LM217" s="692"/>
      <c r="LN217" s="692"/>
      <c r="LO217" s="692"/>
      <c r="LP217" s="692"/>
      <c r="LQ217" s="692"/>
      <c r="LR217" s="692"/>
      <c r="LS217" s="692"/>
      <c r="LT217" s="692"/>
      <c r="LU217" s="692"/>
      <c r="LV217" s="692"/>
      <c r="LW217" s="692"/>
      <c r="LX217" s="692"/>
      <c r="LY217" s="692"/>
      <c r="LZ217" s="692"/>
      <c r="MA217" s="692"/>
      <c r="MB217" s="692"/>
      <c r="MC217" s="692"/>
      <c r="MD217" s="692"/>
      <c r="ME217" s="692"/>
      <c r="MF217" s="692"/>
      <c r="MG217" s="692"/>
      <c r="MH217" s="692"/>
      <c r="MI217" s="692"/>
      <c r="MJ217" s="692"/>
      <c r="MK217" s="692"/>
      <c r="ML217" s="692"/>
      <c r="MM217" s="692"/>
      <c r="MN217" s="692"/>
      <c r="MO217" s="692"/>
      <c r="MP217" s="692"/>
      <c r="MQ217" s="692"/>
      <c r="MR217" s="692"/>
      <c r="MS217" s="692"/>
      <c r="MT217" s="692"/>
      <c r="MU217" s="692"/>
      <c r="MV217" s="692"/>
      <c r="MW217" s="692"/>
      <c r="MX217" s="692"/>
      <c r="MY217" s="692"/>
      <c r="MZ217" s="692"/>
      <c r="NA217" s="692"/>
      <c r="NB217" s="692"/>
      <c r="NC217" s="692"/>
      <c r="ND217" s="692"/>
      <c r="NE217" s="692"/>
      <c r="NF217" s="692"/>
      <c r="NG217" s="692"/>
      <c r="NH217" s="692"/>
      <c r="NI217" s="692"/>
      <c r="NJ217" s="692"/>
      <c r="NK217" s="692"/>
      <c r="NL217" s="692"/>
      <c r="NM217" s="692"/>
      <c r="NN217" s="692"/>
      <c r="NO217" s="692"/>
      <c r="NP217" s="692"/>
      <c r="NQ217" s="692"/>
      <c r="NR217" s="692"/>
    </row>
    <row r="218" spans="1:382" ht="15.75" thickBot="1" x14ac:dyDescent="0.3">
      <c r="A218" s="679"/>
      <c r="B218" s="679"/>
      <c r="C218" s="114"/>
      <c r="D218" s="25"/>
      <c r="E218" s="679"/>
      <c r="F218" s="214"/>
      <c r="G218" s="280"/>
      <c r="H218" s="692"/>
      <c r="I218" s="692"/>
      <c r="J218" s="692"/>
      <c r="K218" s="692"/>
      <c r="L218" s="692"/>
      <c r="M218" s="692"/>
      <c r="N218" s="692"/>
      <c r="O218" s="692"/>
      <c r="P218" s="692"/>
      <c r="Q218" s="692"/>
      <c r="R218" s="692"/>
      <c r="S218" s="692"/>
      <c r="T218" s="692"/>
      <c r="U218" s="692"/>
      <c r="V218" s="692"/>
      <c r="W218" s="692"/>
      <c r="X218" s="692"/>
      <c r="Y218" s="692"/>
      <c r="Z218" s="692"/>
      <c r="AA218" s="692"/>
      <c r="AB218" s="692"/>
      <c r="AC218" s="692"/>
      <c r="AD218" s="692"/>
      <c r="AE218" s="692"/>
      <c r="AF218" s="692"/>
      <c r="AG218" s="692"/>
      <c r="AH218" s="692"/>
      <c r="AI218" s="692"/>
      <c r="AJ218" s="692"/>
      <c r="AK218" s="692"/>
      <c r="AL218" s="692"/>
      <c r="AM218" s="692"/>
      <c r="AN218" s="692"/>
      <c r="AO218" s="692"/>
      <c r="AP218" s="692"/>
      <c r="AQ218" s="692"/>
      <c r="AR218" s="692"/>
      <c r="AS218" s="692"/>
      <c r="AT218" s="692"/>
      <c r="AU218" s="692"/>
      <c r="AV218" s="692"/>
      <c r="AW218" s="692"/>
      <c r="AX218" s="692"/>
      <c r="AY218" s="692"/>
      <c r="AZ218" s="692"/>
      <c r="BA218" s="692"/>
      <c r="BB218" s="692"/>
      <c r="BC218" s="692"/>
      <c r="BD218" s="692"/>
      <c r="BE218" s="692"/>
      <c r="BF218" s="692"/>
      <c r="BG218" s="692"/>
      <c r="BH218" s="692"/>
      <c r="BI218" s="692"/>
      <c r="BJ218" s="692"/>
      <c r="BK218" s="692"/>
      <c r="BL218" s="692"/>
      <c r="BM218" s="692"/>
      <c r="BN218" s="692"/>
      <c r="BO218" s="692"/>
      <c r="BP218" s="692"/>
      <c r="BQ218" s="692"/>
      <c r="BR218" s="692"/>
      <c r="BS218" s="692"/>
      <c r="BT218" s="692"/>
      <c r="BU218" s="692"/>
      <c r="BV218" s="692"/>
      <c r="BW218" s="692"/>
      <c r="BX218" s="692"/>
      <c r="BY218" s="692"/>
      <c r="BZ218" s="692"/>
      <c r="CA218" s="692"/>
      <c r="CB218" s="692"/>
      <c r="CC218" s="692"/>
      <c r="CD218" s="692"/>
      <c r="CE218" s="692"/>
      <c r="CF218" s="692"/>
      <c r="CG218" s="692"/>
      <c r="CH218" s="692"/>
      <c r="CI218" s="692"/>
      <c r="CJ218" s="692"/>
      <c r="CK218" s="692"/>
      <c r="CL218" s="692"/>
      <c r="CM218" s="692"/>
      <c r="CN218" s="692"/>
      <c r="CO218" s="692"/>
      <c r="CP218" s="692"/>
      <c r="CQ218" s="692"/>
      <c r="CR218" s="692"/>
      <c r="CS218" s="692"/>
      <c r="CT218" s="692"/>
      <c r="CU218" s="692"/>
      <c r="CV218" s="692"/>
      <c r="CW218" s="692"/>
      <c r="CX218" s="692"/>
      <c r="CY218" s="692"/>
      <c r="CZ218" s="692"/>
      <c r="DA218" s="692"/>
      <c r="DB218" s="692"/>
      <c r="DC218" s="692"/>
      <c r="DD218" s="692"/>
      <c r="DE218" s="692"/>
      <c r="DF218" s="692"/>
      <c r="DG218" s="692"/>
      <c r="DH218" s="692"/>
      <c r="DI218" s="692"/>
      <c r="DJ218" s="692"/>
      <c r="DK218" s="692"/>
      <c r="DL218" s="692"/>
      <c r="DM218" s="692"/>
      <c r="DN218" s="692"/>
      <c r="DO218" s="692"/>
      <c r="DP218" s="692"/>
      <c r="DQ218" s="692"/>
      <c r="DR218" s="692"/>
      <c r="DS218" s="692"/>
      <c r="DT218" s="692"/>
      <c r="DU218" s="692"/>
      <c r="DV218" s="692"/>
      <c r="DW218" s="692"/>
      <c r="DX218" s="692"/>
      <c r="DY218" s="692"/>
      <c r="DZ218" s="692"/>
      <c r="EA218" s="692"/>
      <c r="EB218" s="692"/>
      <c r="EC218" s="692"/>
      <c r="ED218" s="692"/>
      <c r="EE218" s="692"/>
      <c r="EF218" s="692"/>
      <c r="EG218" s="692"/>
      <c r="EH218" s="692"/>
      <c r="EI218" s="692"/>
      <c r="EJ218" s="692"/>
      <c r="EK218" s="692"/>
      <c r="EL218" s="692"/>
      <c r="EM218" s="692"/>
      <c r="EN218" s="692"/>
      <c r="EO218" s="692"/>
      <c r="EP218" s="692"/>
      <c r="EQ218" s="692"/>
      <c r="ER218" s="692"/>
      <c r="ES218" s="692"/>
      <c r="ET218" s="692"/>
      <c r="EU218" s="692"/>
      <c r="EV218" s="692"/>
      <c r="EW218" s="692"/>
      <c r="EX218" s="692"/>
      <c r="EY218" s="692"/>
      <c r="EZ218" s="692"/>
      <c r="FA218" s="692"/>
      <c r="FB218" s="692"/>
      <c r="FC218" s="692"/>
      <c r="FD218" s="692"/>
      <c r="FE218" s="692"/>
      <c r="FF218" s="692"/>
      <c r="FG218" s="692"/>
      <c r="FH218" s="692"/>
      <c r="FI218" s="692"/>
      <c r="FJ218" s="692"/>
      <c r="FK218" s="692"/>
      <c r="FL218" s="692"/>
      <c r="FM218" s="692"/>
      <c r="FN218" s="692"/>
      <c r="FO218" s="692"/>
      <c r="FP218" s="692"/>
      <c r="FQ218" s="692"/>
      <c r="FR218" s="692"/>
      <c r="FS218" s="692"/>
      <c r="FT218" s="692"/>
      <c r="FU218" s="692"/>
      <c r="FV218" s="692"/>
      <c r="FW218" s="692"/>
      <c r="FX218" s="692"/>
      <c r="FY218" s="692"/>
      <c r="FZ218" s="692"/>
      <c r="GA218" s="692"/>
      <c r="GB218" s="692"/>
      <c r="GC218" s="692"/>
      <c r="GD218" s="692"/>
      <c r="GE218" s="692"/>
      <c r="GF218" s="692"/>
      <c r="GG218" s="692"/>
      <c r="GH218" s="692"/>
      <c r="GI218" s="692"/>
      <c r="GJ218" s="692"/>
      <c r="GK218" s="692"/>
      <c r="GL218" s="692"/>
      <c r="GM218" s="692"/>
      <c r="GN218" s="692"/>
      <c r="GO218" s="692"/>
      <c r="GP218" s="692"/>
      <c r="GQ218" s="692"/>
      <c r="GR218" s="692"/>
      <c r="GS218" s="692"/>
      <c r="GT218" s="692"/>
      <c r="GU218" s="692"/>
      <c r="GV218" s="692"/>
      <c r="GW218" s="692"/>
      <c r="GX218" s="692"/>
      <c r="GY218" s="692"/>
      <c r="GZ218" s="692"/>
      <c r="HA218" s="692"/>
      <c r="HB218" s="692"/>
      <c r="HC218" s="692"/>
      <c r="HD218" s="692"/>
      <c r="HE218" s="692"/>
      <c r="HF218" s="692"/>
      <c r="HG218" s="692"/>
      <c r="HH218" s="692"/>
      <c r="HI218" s="692"/>
      <c r="HJ218" s="692"/>
      <c r="HK218" s="692"/>
      <c r="HL218" s="692"/>
      <c r="HM218" s="692"/>
      <c r="HN218" s="692"/>
      <c r="HO218" s="692"/>
      <c r="HP218" s="692"/>
      <c r="HQ218" s="692"/>
      <c r="HR218" s="692"/>
      <c r="HS218" s="692"/>
      <c r="HT218" s="692"/>
      <c r="HU218" s="692"/>
      <c r="HV218" s="692"/>
      <c r="HW218" s="692"/>
      <c r="HX218" s="692"/>
      <c r="HY218" s="692"/>
      <c r="HZ218" s="692"/>
      <c r="IA218" s="692"/>
      <c r="IB218" s="692"/>
      <c r="IC218" s="692"/>
      <c r="ID218" s="692"/>
      <c r="IE218" s="692"/>
      <c r="IF218" s="692"/>
      <c r="IG218" s="692"/>
      <c r="IH218" s="692"/>
      <c r="II218" s="692"/>
      <c r="IJ218" s="692"/>
      <c r="IK218" s="692"/>
      <c r="IL218" s="692"/>
      <c r="IM218" s="692"/>
      <c r="IN218" s="692"/>
      <c r="IO218" s="692"/>
      <c r="IP218" s="692"/>
      <c r="IQ218" s="692"/>
      <c r="IR218" s="692"/>
      <c r="IS218" s="692"/>
      <c r="IT218" s="692"/>
      <c r="IU218" s="692"/>
      <c r="IV218" s="692"/>
      <c r="IW218" s="692"/>
      <c r="IX218" s="692"/>
      <c r="IY218" s="692"/>
      <c r="IZ218" s="692"/>
      <c r="JA218" s="692"/>
      <c r="JB218" s="692"/>
      <c r="JC218" s="692"/>
      <c r="JD218" s="692"/>
      <c r="JE218" s="692"/>
      <c r="JF218" s="692"/>
      <c r="JG218" s="692"/>
      <c r="JH218" s="692"/>
      <c r="JI218" s="692"/>
      <c r="JJ218" s="692"/>
      <c r="JK218" s="692"/>
      <c r="JL218" s="692"/>
      <c r="JM218" s="692"/>
      <c r="JN218" s="692"/>
      <c r="JO218" s="692"/>
      <c r="JP218" s="692"/>
      <c r="JQ218" s="692"/>
      <c r="JR218" s="692"/>
      <c r="JS218" s="692"/>
      <c r="JT218" s="692"/>
      <c r="JU218" s="692"/>
      <c r="JV218" s="692"/>
      <c r="JW218" s="692"/>
      <c r="JX218" s="692"/>
      <c r="JY218" s="692"/>
      <c r="JZ218" s="692"/>
      <c r="KA218" s="692"/>
      <c r="KB218" s="692"/>
      <c r="KC218" s="692"/>
      <c r="KD218" s="692"/>
      <c r="KE218" s="692"/>
      <c r="KF218" s="692"/>
      <c r="KG218" s="692"/>
      <c r="KH218" s="692"/>
      <c r="KI218" s="692"/>
      <c r="KJ218" s="692"/>
      <c r="KK218" s="692"/>
      <c r="KL218" s="692"/>
      <c r="KM218" s="692"/>
      <c r="KN218" s="692"/>
      <c r="KO218" s="692"/>
      <c r="KP218" s="692"/>
      <c r="KQ218" s="692"/>
      <c r="KR218" s="692"/>
      <c r="KS218" s="692"/>
      <c r="KT218" s="692"/>
      <c r="KU218" s="692"/>
      <c r="KV218" s="692"/>
      <c r="KW218" s="692"/>
      <c r="KX218" s="692"/>
      <c r="KY218" s="692"/>
      <c r="KZ218" s="692"/>
      <c r="LA218" s="692"/>
      <c r="LB218" s="692"/>
      <c r="LC218" s="692"/>
      <c r="LD218" s="692"/>
      <c r="LE218" s="692"/>
      <c r="LF218" s="692"/>
      <c r="LG218" s="692"/>
      <c r="LH218" s="692"/>
      <c r="LI218" s="692"/>
      <c r="LJ218" s="692"/>
      <c r="LK218" s="692"/>
      <c r="LL218" s="692"/>
      <c r="LM218" s="692"/>
      <c r="LN218" s="692"/>
      <c r="LO218" s="692"/>
      <c r="LP218" s="692"/>
      <c r="LQ218" s="692"/>
      <c r="LR218" s="692"/>
      <c r="LS218" s="692"/>
      <c r="LT218" s="692"/>
      <c r="LU218" s="692"/>
      <c r="LV218" s="692"/>
      <c r="LW218" s="692"/>
      <c r="LX218" s="692"/>
      <c r="LY218" s="692"/>
      <c r="LZ218" s="692"/>
      <c r="MA218" s="692"/>
      <c r="MB218" s="692"/>
      <c r="MC218" s="692"/>
      <c r="MD218" s="692"/>
      <c r="ME218" s="692"/>
      <c r="MF218" s="692"/>
      <c r="MG218" s="692"/>
      <c r="MH218" s="692"/>
      <c r="MI218" s="692"/>
      <c r="MJ218" s="692"/>
      <c r="MK218" s="692"/>
      <c r="ML218" s="692"/>
      <c r="MM218" s="692"/>
      <c r="MN218" s="692"/>
      <c r="MO218" s="692"/>
      <c r="MP218" s="692"/>
      <c r="MQ218" s="692"/>
      <c r="MR218" s="692"/>
      <c r="MS218" s="692"/>
      <c r="MT218" s="692"/>
      <c r="MU218" s="692"/>
      <c r="MV218" s="692"/>
      <c r="MW218" s="692"/>
      <c r="MX218" s="692"/>
      <c r="MY218" s="692"/>
      <c r="MZ218" s="692"/>
      <c r="NA218" s="692"/>
      <c r="NB218" s="692"/>
      <c r="NC218" s="692"/>
      <c r="ND218" s="692"/>
      <c r="NE218" s="692"/>
      <c r="NF218" s="692"/>
      <c r="NG218" s="692"/>
      <c r="NH218" s="692"/>
      <c r="NI218" s="692"/>
      <c r="NJ218" s="692"/>
      <c r="NK218" s="692"/>
      <c r="NL218" s="692"/>
      <c r="NM218" s="692"/>
      <c r="NN218" s="692"/>
      <c r="NO218" s="692"/>
      <c r="NP218" s="692"/>
      <c r="NQ218" s="692"/>
      <c r="NR218" s="692"/>
    </row>
    <row r="219" spans="1:382" ht="15.75" thickBot="1" x14ac:dyDescent="0.3">
      <c r="A219" s="679"/>
      <c r="B219" s="680" t="s">
        <v>1051</v>
      </c>
      <c r="C219" s="422">
        <f>'Input Data'!$E$298</f>
        <v>0</v>
      </c>
      <c r="D219" s="679" t="s">
        <v>1685</v>
      </c>
      <c r="E219" s="679"/>
      <c r="F219" s="214"/>
      <c r="G219" s="280"/>
      <c r="H219" s="692"/>
      <c r="I219" s="692"/>
      <c r="J219" s="692"/>
      <c r="K219" s="692"/>
      <c r="L219" s="692"/>
      <c r="M219" s="692"/>
      <c r="N219" s="692"/>
      <c r="O219" s="692"/>
      <c r="P219" s="692"/>
      <c r="Q219" s="692"/>
      <c r="R219" s="692"/>
      <c r="S219" s="692"/>
      <c r="T219" s="692"/>
      <c r="U219" s="692"/>
      <c r="V219" s="692"/>
      <c r="W219" s="692"/>
      <c r="X219" s="692"/>
      <c r="Y219" s="692"/>
      <c r="Z219" s="692"/>
      <c r="AA219" s="692"/>
      <c r="AB219" s="692"/>
      <c r="AC219" s="692"/>
      <c r="AD219" s="692"/>
      <c r="AE219" s="692"/>
      <c r="AF219" s="692"/>
      <c r="AG219" s="692"/>
      <c r="AH219" s="692"/>
      <c r="AI219" s="692"/>
      <c r="AJ219" s="692"/>
      <c r="AK219" s="692"/>
      <c r="AL219" s="692"/>
      <c r="AM219" s="692"/>
      <c r="AN219" s="692"/>
      <c r="AO219" s="692"/>
      <c r="AP219" s="692"/>
      <c r="AQ219" s="692"/>
      <c r="AR219" s="692"/>
      <c r="AS219" s="692"/>
      <c r="AT219" s="692"/>
      <c r="AU219" s="692"/>
      <c r="AV219" s="692"/>
      <c r="AW219" s="692"/>
      <c r="AX219" s="692"/>
      <c r="AY219" s="692"/>
      <c r="AZ219" s="692"/>
      <c r="BA219" s="692"/>
      <c r="BB219" s="692"/>
      <c r="BC219" s="692"/>
      <c r="BD219" s="692"/>
      <c r="BE219" s="692"/>
      <c r="BF219" s="692"/>
      <c r="BG219" s="692"/>
      <c r="BH219" s="692"/>
      <c r="BI219" s="692"/>
      <c r="BJ219" s="692"/>
      <c r="BK219" s="692"/>
      <c r="BL219" s="692"/>
      <c r="BM219" s="692"/>
      <c r="BN219" s="692"/>
      <c r="BO219" s="692"/>
      <c r="BP219" s="692"/>
      <c r="BQ219" s="692"/>
      <c r="BR219" s="692"/>
      <c r="BS219" s="692"/>
      <c r="BT219" s="692"/>
      <c r="BU219" s="692"/>
      <c r="BV219" s="692"/>
      <c r="BW219" s="692"/>
      <c r="BX219" s="692"/>
      <c r="BY219" s="692"/>
      <c r="BZ219" s="692"/>
      <c r="CA219" s="692"/>
      <c r="CB219" s="692"/>
      <c r="CC219" s="692"/>
      <c r="CD219" s="692"/>
      <c r="CE219" s="692"/>
      <c r="CF219" s="692"/>
      <c r="CG219" s="692"/>
      <c r="CH219" s="692"/>
      <c r="CI219" s="692"/>
      <c r="CJ219" s="692"/>
      <c r="CK219" s="692"/>
      <c r="CL219" s="692"/>
      <c r="CM219" s="692"/>
      <c r="CN219" s="692"/>
      <c r="CO219" s="692"/>
      <c r="CP219" s="692"/>
      <c r="CQ219" s="692"/>
      <c r="CR219" s="692"/>
      <c r="CS219" s="692"/>
      <c r="CT219" s="692"/>
      <c r="CU219" s="692"/>
      <c r="CV219" s="692"/>
      <c r="CW219" s="692"/>
      <c r="CX219" s="692"/>
      <c r="CY219" s="692"/>
      <c r="CZ219" s="692"/>
      <c r="DA219" s="692"/>
      <c r="DB219" s="692"/>
      <c r="DC219" s="692"/>
      <c r="DD219" s="692"/>
      <c r="DE219" s="692"/>
      <c r="DF219" s="692"/>
      <c r="DG219" s="692"/>
      <c r="DH219" s="692"/>
      <c r="DI219" s="692"/>
      <c r="DJ219" s="692"/>
      <c r="DK219" s="692"/>
      <c r="DL219" s="692"/>
      <c r="DM219" s="692"/>
      <c r="DN219" s="692"/>
      <c r="DO219" s="692"/>
      <c r="DP219" s="692"/>
      <c r="DQ219" s="692"/>
      <c r="DR219" s="692"/>
      <c r="DS219" s="692"/>
      <c r="DT219" s="692"/>
      <c r="DU219" s="692"/>
      <c r="DV219" s="692"/>
      <c r="DW219" s="692"/>
      <c r="DX219" s="692"/>
      <c r="DY219" s="692"/>
      <c r="DZ219" s="692"/>
      <c r="EA219" s="692"/>
      <c r="EB219" s="692"/>
      <c r="EC219" s="692"/>
      <c r="ED219" s="692"/>
      <c r="EE219" s="692"/>
      <c r="EF219" s="692"/>
      <c r="EG219" s="692"/>
      <c r="EH219" s="692"/>
      <c r="EI219" s="692"/>
      <c r="EJ219" s="692"/>
      <c r="EK219" s="692"/>
      <c r="EL219" s="692"/>
      <c r="EM219" s="692"/>
      <c r="EN219" s="692"/>
      <c r="EO219" s="692"/>
      <c r="EP219" s="692"/>
      <c r="EQ219" s="692"/>
      <c r="ER219" s="692"/>
      <c r="ES219" s="692"/>
      <c r="ET219" s="692"/>
      <c r="EU219" s="692"/>
      <c r="EV219" s="692"/>
      <c r="EW219" s="692"/>
      <c r="EX219" s="692"/>
      <c r="EY219" s="692"/>
      <c r="EZ219" s="692"/>
      <c r="FA219" s="692"/>
      <c r="FB219" s="692"/>
      <c r="FC219" s="692"/>
      <c r="FD219" s="692"/>
      <c r="FE219" s="692"/>
      <c r="FF219" s="692"/>
      <c r="FG219" s="692"/>
      <c r="FH219" s="692"/>
      <c r="FI219" s="692"/>
      <c r="FJ219" s="692"/>
      <c r="FK219" s="692"/>
      <c r="FL219" s="692"/>
      <c r="FM219" s="692"/>
      <c r="FN219" s="692"/>
      <c r="FO219" s="692"/>
      <c r="FP219" s="692"/>
      <c r="FQ219" s="692"/>
      <c r="FR219" s="692"/>
      <c r="FS219" s="692"/>
      <c r="FT219" s="692"/>
      <c r="FU219" s="692"/>
      <c r="FV219" s="692"/>
      <c r="FW219" s="692"/>
      <c r="FX219" s="692"/>
      <c r="FY219" s="692"/>
      <c r="FZ219" s="692"/>
      <c r="GA219" s="692"/>
      <c r="GB219" s="692"/>
      <c r="GC219" s="692"/>
      <c r="GD219" s="692"/>
      <c r="GE219" s="692"/>
      <c r="GF219" s="692"/>
      <c r="GG219" s="692"/>
      <c r="GH219" s="692"/>
      <c r="GI219" s="692"/>
      <c r="GJ219" s="692"/>
      <c r="GK219" s="692"/>
      <c r="GL219" s="692"/>
      <c r="GM219" s="692"/>
      <c r="GN219" s="692"/>
      <c r="GO219" s="692"/>
      <c r="GP219" s="692"/>
      <c r="GQ219" s="692"/>
      <c r="GR219" s="692"/>
      <c r="GS219" s="692"/>
      <c r="GT219" s="692"/>
      <c r="GU219" s="692"/>
      <c r="GV219" s="692"/>
      <c r="GW219" s="692"/>
      <c r="GX219" s="692"/>
      <c r="GY219" s="692"/>
      <c r="GZ219" s="692"/>
      <c r="HA219" s="692"/>
      <c r="HB219" s="692"/>
      <c r="HC219" s="692"/>
      <c r="HD219" s="692"/>
      <c r="HE219" s="692"/>
      <c r="HF219" s="692"/>
      <c r="HG219" s="692"/>
      <c r="HH219" s="692"/>
      <c r="HI219" s="692"/>
      <c r="HJ219" s="692"/>
      <c r="HK219" s="692"/>
      <c r="HL219" s="692"/>
      <c r="HM219" s="692"/>
      <c r="HN219" s="692"/>
      <c r="HO219" s="692"/>
      <c r="HP219" s="692"/>
      <c r="HQ219" s="692"/>
      <c r="HR219" s="692"/>
      <c r="HS219" s="692"/>
      <c r="HT219" s="692"/>
      <c r="HU219" s="692"/>
      <c r="HV219" s="692"/>
      <c r="HW219" s="692"/>
      <c r="HX219" s="692"/>
      <c r="HY219" s="692"/>
      <c r="HZ219" s="692"/>
      <c r="IA219" s="692"/>
      <c r="IB219" s="692"/>
      <c r="IC219" s="692"/>
      <c r="ID219" s="692"/>
      <c r="IE219" s="692"/>
      <c r="IF219" s="692"/>
      <c r="IG219" s="692"/>
      <c r="IH219" s="692"/>
      <c r="II219" s="692"/>
      <c r="IJ219" s="692"/>
      <c r="IK219" s="692"/>
      <c r="IL219" s="692"/>
      <c r="IM219" s="692"/>
      <c r="IN219" s="692"/>
      <c r="IO219" s="692"/>
      <c r="IP219" s="692"/>
      <c r="IQ219" s="692"/>
      <c r="IR219" s="692"/>
      <c r="IS219" s="692"/>
      <c r="IT219" s="692"/>
      <c r="IU219" s="692"/>
      <c r="IV219" s="692"/>
      <c r="IW219" s="692"/>
      <c r="IX219" s="692"/>
      <c r="IY219" s="692"/>
      <c r="IZ219" s="692"/>
      <c r="JA219" s="692"/>
      <c r="JB219" s="692"/>
      <c r="JC219" s="692"/>
      <c r="JD219" s="692"/>
      <c r="JE219" s="692"/>
      <c r="JF219" s="692"/>
      <c r="JG219" s="692"/>
      <c r="JH219" s="692"/>
      <c r="JI219" s="692"/>
      <c r="JJ219" s="692"/>
      <c r="JK219" s="692"/>
      <c r="JL219" s="692"/>
      <c r="JM219" s="692"/>
      <c r="JN219" s="692"/>
      <c r="JO219" s="692"/>
      <c r="JP219" s="692"/>
      <c r="JQ219" s="692"/>
      <c r="JR219" s="692"/>
      <c r="JS219" s="692"/>
      <c r="JT219" s="692"/>
      <c r="JU219" s="692"/>
      <c r="JV219" s="692"/>
      <c r="JW219" s="692"/>
      <c r="JX219" s="692"/>
      <c r="JY219" s="692"/>
      <c r="JZ219" s="692"/>
      <c r="KA219" s="692"/>
      <c r="KB219" s="692"/>
      <c r="KC219" s="692"/>
      <c r="KD219" s="692"/>
      <c r="KE219" s="692"/>
      <c r="KF219" s="692"/>
      <c r="KG219" s="692"/>
      <c r="KH219" s="692"/>
      <c r="KI219" s="692"/>
      <c r="KJ219" s="692"/>
      <c r="KK219" s="692"/>
      <c r="KL219" s="692"/>
      <c r="KM219" s="692"/>
      <c r="KN219" s="692"/>
      <c r="KO219" s="692"/>
      <c r="KP219" s="692"/>
      <c r="KQ219" s="692"/>
      <c r="KR219" s="692"/>
      <c r="KS219" s="692"/>
      <c r="KT219" s="692"/>
      <c r="KU219" s="692"/>
      <c r="KV219" s="692"/>
      <c r="KW219" s="692"/>
      <c r="KX219" s="692"/>
      <c r="KY219" s="692"/>
      <c r="KZ219" s="692"/>
      <c r="LA219" s="692"/>
      <c r="LB219" s="692"/>
      <c r="LC219" s="692"/>
      <c r="LD219" s="692"/>
      <c r="LE219" s="692"/>
      <c r="LF219" s="692"/>
      <c r="LG219" s="692"/>
      <c r="LH219" s="692"/>
      <c r="LI219" s="692"/>
      <c r="LJ219" s="692"/>
      <c r="LK219" s="692"/>
      <c r="LL219" s="692"/>
      <c r="LM219" s="692"/>
      <c r="LN219" s="692"/>
      <c r="LO219" s="692"/>
      <c r="LP219" s="692"/>
      <c r="LQ219" s="692"/>
      <c r="LR219" s="692"/>
      <c r="LS219" s="692"/>
      <c r="LT219" s="692"/>
      <c r="LU219" s="692"/>
      <c r="LV219" s="692"/>
      <c r="LW219" s="692"/>
      <c r="LX219" s="692"/>
      <c r="LY219" s="692"/>
      <c r="LZ219" s="692"/>
      <c r="MA219" s="692"/>
      <c r="MB219" s="692"/>
      <c r="MC219" s="692"/>
      <c r="MD219" s="692"/>
      <c r="ME219" s="692"/>
      <c r="MF219" s="692"/>
      <c r="MG219" s="692"/>
      <c r="MH219" s="692"/>
      <c r="MI219" s="692"/>
      <c r="MJ219" s="692"/>
      <c r="MK219" s="692"/>
      <c r="ML219" s="692"/>
      <c r="MM219" s="692"/>
      <c r="MN219" s="692"/>
      <c r="MO219" s="692"/>
      <c r="MP219" s="692"/>
      <c r="MQ219" s="692"/>
      <c r="MR219" s="692"/>
      <c r="MS219" s="692"/>
      <c r="MT219" s="692"/>
      <c r="MU219" s="692"/>
      <c r="MV219" s="692"/>
      <c r="MW219" s="692"/>
      <c r="MX219" s="692"/>
      <c r="MY219" s="692"/>
      <c r="MZ219" s="692"/>
      <c r="NA219" s="692"/>
      <c r="NB219" s="692"/>
      <c r="NC219" s="692"/>
      <c r="ND219" s="692"/>
      <c r="NE219" s="692"/>
      <c r="NF219" s="692"/>
      <c r="NG219" s="692"/>
      <c r="NH219" s="692"/>
      <c r="NI219" s="692"/>
      <c r="NJ219" s="692"/>
      <c r="NK219" s="692"/>
      <c r="NL219" s="692"/>
      <c r="NM219" s="692"/>
      <c r="NN219" s="692"/>
      <c r="NO219" s="692"/>
      <c r="NP219" s="692"/>
      <c r="NQ219" s="692"/>
      <c r="NR219" s="692"/>
    </row>
    <row r="220" spans="1:382" ht="15.75" thickBot="1" x14ac:dyDescent="0.3">
      <c r="A220" s="679"/>
      <c r="B220" s="680" t="s">
        <v>1686</v>
      </c>
      <c r="C220" s="422">
        <f>'Input Data'!$E$299</f>
        <v>0</v>
      </c>
      <c r="D220" s="679" t="s">
        <v>1687</v>
      </c>
      <c r="E220" s="679"/>
      <c r="F220" s="214"/>
      <c r="G220" s="280"/>
      <c r="H220" s="692"/>
      <c r="I220" s="692"/>
      <c r="J220" s="692"/>
      <c r="K220" s="692"/>
      <c r="L220" s="692"/>
      <c r="M220" s="692"/>
      <c r="N220" s="692"/>
      <c r="O220" s="692"/>
      <c r="P220" s="692"/>
      <c r="Q220" s="692"/>
      <c r="R220" s="692"/>
      <c r="S220" s="692"/>
      <c r="T220" s="692"/>
      <c r="U220" s="692"/>
      <c r="V220" s="692"/>
      <c r="W220" s="692"/>
      <c r="X220" s="692"/>
      <c r="Y220" s="692"/>
      <c r="Z220" s="692"/>
      <c r="AA220" s="692"/>
      <c r="AB220" s="692"/>
      <c r="AC220" s="692"/>
      <c r="AD220" s="692"/>
      <c r="AE220" s="692"/>
      <c r="AF220" s="692"/>
      <c r="AG220" s="692"/>
      <c r="AH220" s="692"/>
      <c r="AI220" s="692"/>
      <c r="AJ220" s="692"/>
      <c r="AK220" s="692"/>
      <c r="AL220" s="692"/>
      <c r="AM220" s="692"/>
      <c r="AN220" s="692"/>
      <c r="AO220" s="692"/>
      <c r="AP220" s="692"/>
      <c r="AQ220" s="692"/>
      <c r="AR220" s="692"/>
      <c r="AS220" s="692"/>
      <c r="AT220" s="692"/>
      <c r="AU220" s="692"/>
      <c r="AV220" s="692"/>
      <c r="AW220" s="692"/>
      <c r="AX220" s="692"/>
      <c r="AY220" s="692"/>
      <c r="AZ220" s="692"/>
      <c r="BA220" s="692"/>
      <c r="BB220" s="692"/>
      <c r="BC220" s="692"/>
      <c r="BD220" s="692"/>
      <c r="BE220" s="692"/>
      <c r="BF220" s="692"/>
      <c r="BG220" s="692"/>
      <c r="BH220" s="692"/>
      <c r="BI220" s="692"/>
      <c r="BJ220" s="692"/>
      <c r="BK220" s="692"/>
      <c r="BL220" s="692"/>
      <c r="BM220" s="692"/>
      <c r="BN220" s="692"/>
      <c r="BO220" s="692"/>
      <c r="BP220" s="692"/>
      <c r="BQ220" s="692"/>
      <c r="BR220" s="692"/>
      <c r="BS220" s="692"/>
      <c r="BT220" s="692"/>
      <c r="BU220" s="692"/>
      <c r="BV220" s="692"/>
      <c r="BW220" s="692"/>
      <c r="BX220" s="692"/>
      <c r="BY220" s="692"/>
      <c r="BZ220" s="692"/>
      <c r="CA220" s="692"/>
      <c r="CB220" s="692"/>
      <c r="CC220" s="692"/>
      <c r="CD220" s="692"/>
      <c r="CE220" s="692"/>
      <c r="CF220" s="692"/>
      <c r="CG220" s="692"/>
      <c r="CH220" s="692"/>
      <c r="CI220" s="692"/>
      <c r="CJ220" s="692"/>
      <c r="CK220" s="692"/>
      <c r="CL220" s="692"/>
      <c r="CM220" s="692"/>
      <c r="CN220" s="692"/>
      <c r="CO220" s="692"/>
      <c r="CP220" s="692"/>
      <c r="CQ220" s="692"/>
      <c r="CR220" s="692"/>
      <c r="CS220" s="692"/>
      <c r="CT220" s="692"/>
      <c r="CU220" s="692"/>
      <c r="CV220" s="692"/>
      <c r="CW220" s="692"/>
      <c r="CX220" s="692"/>
      <c r="CY220" s="692"/>
      <c r="CZ220" s="692"/>
      <c r="DA220" s="692"/>
      <c r="DB220" s="692"/>
      <c r="DC220" s="692"/>
      <c r="DD220" s="692"/>
      <c r="DE220" s="692"/>
      <c r="DF220" s="692"/>
      <c r="DG220" s="692"/>
      <c r="DH220" s="692"/>
      <c r="DI220" s="692"/>
      <c r="DJ220" s="692"/>
      <c r="DK220" s="692"/>
      <c r="DL220" s="692"/>
      <c r="DM220" s="692"/>
      <c r="DN220" s="692"/>
      <c r="DO220" s="692"/>
      <c r="DP220" s="692"/>
      <c r="DQ220" s="692"/>
      <c r="DR220" s="692"/>
      <c r="DS220" s="692"/>
      <c r="DT220" s="692"/>
      <c r="DU220" s="692"/>
      <c r="DV220" s="692"/>
      <c r="DW220" s="692"/>
      <c r="DX220" s="692"/>
      <c r="DY220" s="692"/>
      <c r="DZ220" s="692"/>
      <c r="EA220" s="692"/>
      <c r="EB220" s="692"/>
      <c r="EC220" s="692"/>
      <c r="ED220" s="692"/>
      <c r="EE220" s="692"/>
      <c r="EF220" s="692"/>
      <c r="EG220" s="692"/>
      <c r="EH220" s="692"/>
      <c r="EI220" s="692"/>
      <c r="EJ220" s="692"/>
      <c r="EK220" s="692"/>
      <c r="EL220" s="692"/>
      <c r="EM220" s="692"/>
      <c r="EN220" s="692"/>
      <c r="EO220" s="692"/>
      <c r="EP220" s="692"/>
      <c r="EQ220" s="692"/>
      <c r="ER220" s="692"/>
      <c r="ES220" s="692"/>
      <c r="ET220" s="692"/>
      <c r="EU220" s="692"/>
      <c r="EV220" s="692"/>
      <c r="EW220" s="692"/>
      <c r="EX220" s="692"/>
      <c r="EY220" s="692"/>
      <c r="EZ220" s="692"/>
      <c r="FA220" s="692"/>
      <c r="FB220" s="692"/>
      <c r="FC220" s="692"/>
      <c r="FD220" s="692"/>
      <c r="FE220" s="692"/>
      <c r="FF220" s="692"/>
      <c r="FG220" s="692"/>
      <c r="FH220" s="692"/>
      <c r="FI220" s="692"/>
      <c r="FJ220" s="692"/>
      <c r="FK220" s="692"/>
      <c r="FL220" s="692"/>
      <c r="FM220" s="692"/>
      <c r="FN220" s="692"/>
      <c r="FO220" s="692"/>
      <c r="FP220" s="692"/>
      <c r="FQ220" s="692"/>
      <c r="FR220" s="692"/>
      <c r="FS220" s="692"/>
      <c r="FT220" s="692"/>
      <c r="FU220" s="692"/>
      <c r="FV220" s="692"/>
      <c r="FW220" s="692"/>
      <c r="FX220" s="692"/>
      <c r="FY220" s="692"/>
      <c r="FZ220" s="692"/>
      <c r="GA220" s="692"/>
      <c r="GB220" s="692"/>
      <c r="GC220" s="692"/>
      <c r="GD220" s="692"/>
      <c r="GE220" s="692"/>
      <c r="GF220" s="692"/>
      <c r="GG220" s="692"/>
      <c r="GH220" s="692"/>
      <c r="GI220" s="692"/>
      <c r="GJ220" s="692"/>
      <c r="GK220" s="692"/>
      <c r="GL220" s="692"/>
      <c r="GM220" s="692"/>
      <c r="GN220" s="692"/>
      <c r="GO220" s="692"/>
      <c r="GP220" s="692"/>
      <c r="GQ220" s="692"/>
      <c r="GR220" s="692"/>
      <c r="GS220" s="692"/>
      <c r="GT220" s="692"/>
      <c r="GU220" s="692"/>
      <c r="GV220" s="692"/>
      <c r="GW220" s="692"/>
      <c r="GX220" s="692"/>
      <c r="GY220" s="692"/>
      <c r="GZ220" s="692"/>
      <c r="HA220" s="692"/>
      <c r="HB220" s="692"/>
      <c r="HC220" s="692"/>
      <c r="HD220" s="692"/>
      <c r="HE220" s="692"/>
      <c r="HF220" s="692"/>
      <c r="HG220" s="692"/>
      <c r="HH220" s="692"/>
      <c r="HI220" s="692"/>
      <c r="HJ220" s="692"/>
      <c r="HK220" s="692"/>
      <c r="HL220" s="692"/>
      <c r="HM220" s="692"/>
      <c r="HN220" s="692"/>
      <c r="HO220" s="692"/>
      <c r="HP220" s="692"/>
      <c r="HQ220" s="692"/>
      <c r="HR220" s="692"/>
      <c r="HS220" s="692"/>
      <c r="HT220" s="692"/>
      <c r="HU220" s="692"/>
      <c r="HV220" s="692"/>
      <c r="HW220" s="692"/>
      <c r="HX220" s="692"/>
      <c r="HY220" s="692"/>
      <c r="HZ220" s="692"/>
      <c r="IA220" s="692"/>
      <c r="IB220" s="692"/>
      <c r="IC220" s="692"/>
      <c r="ID220" s="692"/>
      <c r="IE220" s="692"/>
      <c r="IF220" s="692"/>
      <c r="IG220" s="692"/>
      <c r="IH220" s="692"/>
      <c r="II220" s="692"/>
      <c r="IJ220" s="692"/>
      <c r="IK220" s="692"/>
      <c r="IL220" s="692"/>
      <c r="IM220" s="692"/>
      <c r="IN220" s="692"/>
      <c r="IO220" s="692"/>
      <c r="IP220" s="692"/>
      <c r="IQ220" s="692"/>
      <c r="IR220" s="692"/>
      <c r="IS220" s="692"/>
      <c r="IT220" s="692"/>
      <c r="IU220" s="692"/>
      <c r="IV220" s="692"/>
      <c r="IW220" s="692"/>
      <c r="IX220" s="692"/>
      <c r="IY220" s="692"/>
      <c r="IZ220" s="692"/>
      <c r="JA220" s="692"/>
      <c r="JB220" s="692"/>
      <c r="JC220" s="692"/>
      <c r="JD220" s="692"/>
      <c r="JE220" s="692"/>
      <c r="JF220" s="692"/>
      <c r="JG220" s="692"/>
      <c r="JH220" s="692"/>
      <c r="JI220" s="692"/>
      <c r="JJ220" s="692"/>
      <c r="JK220" s="692"/>
      <c r="JL220" s="692"/>
      <c r="JM220" s="692"/>
      <c r="JN220" s="692"/>
      <c r="JO220" s="692"/>
      <c r="JP220" s="692"/>
      <c r="JQ220" s="692"/>
      <c r="JR220" s="692"/>
      <c r="JS220" s="692"/>
      <c r="JT220" s="692"/>
      <c r="JU220" s="692"/>
      <c r="JV220" s="692"/>
      <c r="JW220" s="692"/>
      <c r="JX220" s="692"/>
      <c r="JY220" s="692"/>
      <c r="JZ220" s="692"/>
      <c r="KA220" s="692"/>
      <c r="KB220" s="692"/>
      <c r="KC220" s="692"/>
      <c r="KD220" s="692"/>
      <c r="KE220" s="692"/>
      <c r="KF220" s="692"/>
      <c r="KG220" s="692"/>
      <c r="KH220" s="692"/>
      <c r="KI220" s="692"/>
      <c r="KJ220" s="692"/>
      <c r="KK220" s="692"/>
      <c r="KL220" s="692"/>
      <c r="KM220" s="692"/>
      <c r="KN220" s="692"/>
      <c r="KO220" s="692"/>
      <c r="KP220" s="692"/>
      <c r="KQ220" s="692"/>
      <c r="KR220" s="692"/>
      <c r="KS220" s="692"/>
      <c r="KT220" s="692"/>
      <c r="KU220" s="692"/>
      <c r="KV220" s="692"/>
      <c r="KW220" s="692"/>
      <c r="KX220" s="692"/>
      <c r="KY220" s="692"/>
      <c r="KZ220" s="692"/>
      <c r="LA220" s="692"/>
      <c r="LB220" s="692"/>
      <c r="LC220" s="692"/>
      <c r="LD220" s="692"/>
      <c r="LE220" s="692"/>
      <c r="LF220" s="692"/>
      <c r="LG220" s="692"/>
      <c r="LH220" s="692"/>
      <c r="LI220" s="692"/>
      <c r="LJ220" s="692"/>
      <c r="LK220" s="692"/>
      <c r="LL220" s="692"/>
      <c r="LM220" s="692"/>
      <c r="LN220" s="692"/>
      <c r="LO220" s="692"/>
      <c r="LP220" s="692"/>
      <c r="LQ220" s="692"/>
      <c r="LR220" s="692"/>
      <c r="LS220" s="692"/>
      <c r="LT220" s="692"/>
      <c r="LU220" s="692"/>
      <c r="LV220" s="692"/>
      <c r="LW220" s="692"/>
      <c r="LX220" s="692"/>
      <c r="LY220" s="692"/>
      <c r="LZ220" s="692"/>
      <c r="MA220" s="692"/>
      <c r="MB220" s="692"/>
      <c r="MC220" s="692"/>
      <c r="MD220" s="692"/>
      <c r="ME220" s="692"/>
      <c r="MF220" s="692"/>
      <c r="MG220" s="692"/>
      <c r="MH220" s="692"/>
      <c r="MI220" s="692"/>
      <c r="MJ220" s="692"/>
      <c r="MK220" s="692"/>
      <c r="ML220" s="692"/>
      <c r="MM220" s="692"/>
      <c r="MN220" s="692"/>
      <c r="MO220" s="692"/>
      <c r="MP220" s="692"/>
      <c r="MQ220" s="692"/>
      <c r="MR220" s="692"/>
      <c r="MS220" s="692"/>
      <c r="MT220" s="692"/>
      <c r="MU220" s="692"/>
      <c r="MV220" s="692"/>
      <c r="MW220" s="692"/>
      <c r="MX220" s="692"/>
      <c r="MY220" s="692"/>
      <c r="MZ220" s="692"/>
      <c r="NA220" s="692"/>
      <c r="NB220" s="692"/>
      <c r="NC220" s="692"/>
      <c r="ND220" s="692"/>
      <c r="NE220" s="692"/>
      <c r="NF220" s="692"/>
      <c r="NG220" s="692"/>
      <c r="NH220" s="692"/>
      <c r="NI220" s="692"/>
      <c r="NJ220" s="692"/>
      <c r="NK220" s="692"/>
      <c r="NL220" s="692"/>
      <c r="NM220" s="692"/>
      <c r="NN220" s="692"/>
      <c r="NO220" s="692"/>
      <c r="NP220" s="692"/>
      <c r="NQ220" s="692"/>
      <c r="NR220" s="692"/>
    </row>
    <row r="221" spans="1:382" x14ac:dyDescent="0.25">
      <c r="A221" s="679"/>
      <c r="B221" s="680" t="s">
        <v>1051</v>
      </c>
      <c r="C221" s="506">
        <f>C219*C220</f>
        <v>0</v>
      </c>
      <c r="D221" s="680" t="s">
        <v>1575</v>
      </c>
      <c r="E221" s="679"/>
      <c r="F221" s="214"/>
      <c r="G221" s="280"/>
      <c r="H221" s="692"/>
      <c r="I221" s="692"/>
      <c r="J221" s="692"/>
      <c r="K221" s="692"/>
      <c r="L221" s="692"/>
      <c r="M221" s="692"/>
      <c r="N221" s="692"/>
      <c r="O221" s="692"/>
      <c r="P221" s="692"/>
      <c r="Q221" s="692"/>
      <c r="R221" s="692"/>
      <c r="S221" s="692"/>
      <c r="T221" s="692"/>
      <c r="U221" s="692"/>
      <c r="V221" s="692"/>
      <c r="W221" s="692"/>
      <c r="X221" s="692"/>
      <c r="Y221" s="692"/>
      <c r="Z221" s="692"/>
      <c r="AA221" s="692"/>
      <c r="AB221" s="692"/>
      <c r="AC221" s="692"/>
      <c r="AD221" s="692"/>
      <c r="AE221" s="692"/>
      <c r="AF221" s="692"/>
      <c r="AG221" s="692"/>
      <c r="AH221" s="692"/>
      <c r="AI221" s="692"/>
      <c r="AJ221" s="692"/>
      <c r="AK221" s="692"/>
      <c r="AL221" s="692"/>
      <c r="AM221" s="692"/>
      <c r="AN221" s="692"/>
      <c r="AO221" s="692"/>
      <c r="AP221" s="692"/>
      <c r="AQ221" s="692"/>
      <c r="AR221" s="692"/>
      <c r="AS221" s="692"/>
      <c r="AT221" s="692"/>
      <c r="AU221" s="692"/>
      <c r="AV221" s="692"/>
      <c r="AW221" s="692"/>
      <c r="AX221" s="692"/>
      <c r="AY221" s="692"/>
      <c r="AZ221" s="692"/>
      <c r="BA221" s="692"/>
      <c r="BB221" s="692"/>
      <c r="BC221" s="692"/>
      <c r="BD221" s="692"/>
      <c r="BE221" s="692"/>
      <c r="BF221" s="692"/>
      <c r="BG221" s="692"/>
      <c r="BH221" s="692"/>
      <c r="BI221" s="692"/>
      <c r="BJ221" s="692"/>
      <c r="BK221" s="692"/>
      <c r="BL221" s="692"/>
      <c r="BM221" s="692"/>
      <c r="BN221" s="692"/>
      <c r="BO221" s="692"/>
      <c r="BP221" s="692"/>
      <c r="BQ221" s="692"/>
      <c r="BR221" s="692"/>
      <c r="BS221" s="692"/>
      <c r="BT221" s="692"/>
      <c r="BU221" s="692"/>
      <c r="BV221" s="692"/>
      <c r="BW221" s="692"/>
      <c r="BX221" s="692"/>
      <c r="BY221" s="692"/>
      <c r="BZ221" s="692"/>
      <c r="CA221" s="692"/>
      <c r="CB221" s="692"/>
      <c r="CC221" s="692"/>
      <c r="CD221" s="692"/>
      <c r="CE221" s="692"/>
      <c r="CF221" s="692"/>
      <c r="CG221" s="692"/>
      <c r="CH221" s="692"/>
      <c r="CI221" s="692"/>
      <c r="CJ221" s="692"/>
      <c r="CK221" s="692"/>
      <c r="CL221" s="692"/>
      <c r="CM221" s="692"/>
      <c r="CN221" s="692"/>
      <c r="CO221" s="692"/>
      <c r="CP221" s="692"/>
      <c r="CQ221" s="692"/>
      <c r="CR221" s="692"/>
      <c r="CS221" s="692"/>
      <c r="CT221" s="692"/>
      <c r="CU221" s="692"/>
      <c r="CV221" s="692"/>
      <c r="CW221" s="692"/>
      <c r="CX221" s="692"/>
      <c r="CY221" s="692"/>
      <c r="CZ221" s="692"/>
      <c r="DA221" s="692"/>
      <c r="DB221" s="692"/>
      <c r="DC221" s="692"/>
      <c r="DD221" s="692"/>
      <c r="DE221" s="692"/>
      <c r="DF221" s="692"/>
      <c r="DG221" s="692"/>
      <c r="DH221" s="692"/>
      <c r="DI221" s="692"/>
      <c r="DJ221" s="692"/>
      <c r="DK221" s="692"/>
      <c r="DL221" s="692"/>
      <c r="DM221" s="692"/>
      <c r="DN221" s="692"/>
      <c r="DO221" s="692"/>
      <c r="DP221" s="692"/>
      <c r="DQ221" s="692"/>
      <c r="DR221" s="692"/>
      <c r="DS221" s="692"/>
      <c r="DT221" s="692"/>
      <c r="DU221" s="692"/>
      <c r="DV221" s="692"/>
      <c r="DW221" s="692"/>
      <c r="DX221" s="692"/>
      <c r="DY221" s="692"/>
      <c r="DZ221" s="692"/>
      <c r="EA221" s="692"/>
      <c r="EB221" s="692"/>
      <c r="EC221" s="692"/>
      <c r="ED221" s="692"/>
      <c r="EE221" s="692"/>
      <c r="EF221" s="692"/>
      <c r="EG221" s="692"/>
      <c r="EH221" s="692"/>
      <c r="EI221" s="692"/>
      <c r="EJ221" s="692"/>
      <c r="EK221" s="692"/>
      <c r="EL221" s="692"/>
      <c r="EM221" s="692"/>
      <c r="EN221" s="692"/>
      <c r="EO221" s="692"/>
      <c r="EP221" s="692"/>
      <c r="EQ221" s="692"/>
      <c r="ER221" s="692"/>
      <c r="ES221" s="692"/>
      <c r="ET221" s="692"/>
      <c r="EU221" s="692"/>
      <c r="EV221" s="692"/>
      <c r="EW221" s="692"/>
      <c r="EX221" s="692"/>
      <c r="EY221" s="692"/>
      <c r="EZ221" s="692"/>
      <c r="FA221" s="692"/>
      <c r="FB221" s="692"/>
      <c r="FC221" s="692"/>
      <c r="FD221" s="692"/>
      <c r="FE221" s="692"/>
      <c r="FF221" s="692"/>
      <c r="FG221" s="692"/>
      <c r="FH221" s="692"/>
      <c r="FI221" s="692"/>
      <c r="FJ221" s="692"/>
      <c r="FK221" s="692"/>
      <c r="FL221" s="692"/>
      <c r="FM221" s="692"/>
      <c r="FN221" s="692"/>
      <c r="FO221" s="692"/>
      <c r="FP221" s="692"/>
      <c r="FQ221" s="692"/>
      <c r="FR221" s="692"/>
      <c r="FS221" s="692"/>
      <c r="FT221" s="692"/>
      <c r="FU221" s="692"/>
      <c r="FV221" s="692"/>
      <c r="FW221" s="692"/>
      <c r="FX221" s="692"/>
      <c r="FY221" s="692"/>
      <c r="FZ221" s="692"/>
      <c r="GA221" s="692"/>
      <c r="GB221" s="692"/>
      <c r="GC221" s="692"/>
      <c r="GD221" s="692"/>
      <c r="GE221" s="692"/>
      <c r="GF221" s="692"/>
      <c r="GG221" s="692"/>
      <c r="GH221" s="692"/>
      <c r="GI221" s="692"/>
      <c r="GJ221" s="692"/>
      <c r="GK221" s="692"/>
      <c r="GL221" s="692"/>
      <c r="GM221" s="692"/>
      <c r="GN221" s="692"/>
      <c r="GO221" s="692"/>
      <c r="GP221" s="692"/>
      <c r="GQ221" s="692"/>
      <c r="GR221" s="692"/>
      <c r="GS221" s="692"/>
      <c r="GT221" s="692"/>
      <c r="GU221" s="692"/>
      <c r="GV221" s="692"/>
      <c r="GW221" s="692"/>
      <c r="GX221" s="692"/>
      <c r="GY221" s="692"/>
      <c r="GZ221" s="692"/>
      <c r="HA221" s="692"/>
      <c r="HB221" s="692"/>
      <c r="HC221" s="692"/>
      <c r="HD221" s="692"/>
      <c r="HE221" s="692"/>
      <c r="HF221" s="692"/>
      <c r="HG221" s="692"/>
      <c r="HH221" s="692"/>
      <c r="HI221" s="692"/>
      <c r="HJ221" s="692"/>
      <c r="HK221" s="692"/>
      <c r="HL221" s="692"/>
      <c r="HM221" s="692"/>
      <c r="HN221" s="692"/>
      <c r="HO221" s="692"/>
      <c r="HP221" s="692"/>
      <c r="HQ221" s="692"/>
      <c r="HR221" s="692"/>
      <c r="HS221" s="692"/>
      <c r="HT221" s="692"/>
      <c r="HU221" s="692"/>
      <c r="HV221" s="692"/>
      <c r="HW221" s="692"/>
      <c r="HX221" s="692"/>
      <c r="HY221" s="692"/>
      <c r="HZ221" s="692"/>
      <c r="IA221" s="692"/>
      <c r="IB221" s="692"/>
      <c r="IC221" s="692"/>
      <c r="ID221" s="692"/>
      <c r="IE221" s="692"/>
      <c r="IF221" s="692"/>
      <c r="IG221" s="692"/>
      <c r="IH221" s="692"/>
      <c r="II221" s="692"/>
      <c r="IJ221" s="692"/>
      <c r="IK221" s="692"/>
      <c r="IL221" s="692"/>
      <c r="IM221" s="692"/>
      <c r="IN221" s="692"/>
      <c r="IO221" s="692"/>
      <c r="IP221" s="692"/>
      <c r="IQ221" s="692"/>
      <c r="IR221" s="692"/>
      <c r="IS221" s="692"/>
      <c r="IT221" s="692"/>
      <c r="IU221" s="692"/>
      <c r="IV221" s="692"/>
      <c r="IW221" s="692"/>
      <c r="IX221" s="692"/>
      <c r="IY221" s="692"/>
      <c r="IZ221" s="692"/>
      <c r="JA221" s="692"/>
      <c r="JB221" s="692"/>
      <c r="JC221" s="692"/>
      <c r="JD221" s="692"/>
      <c r="JE221" s="692"/>
      <c r="JF221" s="692"/>
      <c r="JG221" s="692"/>
      <c r="JH221" s="692"/>
      <c r="JI221" s="692"/>
      <c r="JJ221" s="692"/>
      <c r="JK221" s="692"/>
      <c r="JL221" s="692"/>
      <c r="JM221" s="692"/>
      <c r="JN221" s="692"/>
      <c r="JO221" s="692"/>
      <c r="JP221" s="692"/>
      <c r="JQ221" s="692"/>
      <c r="JR221" s="692"/>
      <c r="JS221" s="692"/>
      <c r="JT221" s="692"/>
      <c r="JU221" s="692"/>
      <c r="JV221" s="692"/>
      <c r="JW221" s="692"/>
      <c r="JX221" s="692"/>
      <c r="JY221" s="692"/>
      <c r="JZ221" s="692"/>
      <c r="KA221" s="692"/>
      <c r="KB221" s="692"/>
      <c r="KC221" s="692"/>
      <c r="KD221" s="692"/>
      <c r="KE221" s="692"/>
      <c r="KF221" s="692"/>
      <c r="KG221" s="692"/>
      <c r="KH221" s="692"/>
      <c r="KI221" s="692"/>
      <c r="KJ221" s="692"/>
      <c r="KK221" s="692"/>
      <c r="KL221" s="692"/>
      <c r="KM221" s="692"/>
      <c r="KN221" s="692"/>
      <c r="KO221" s="692"/>
      <c r="KP221" s="692"/>
      <c r="KQ221" s="692"/>
      <c r="KR221" s="692"/>
      <c r="KS221" s="692"/>
      <c r="KT221" s="692"/>
      <c r="KU221" s="692"/>
      <c r="KV221" s="692"/>
      <c r="KW221" s="692"/>
      <c r="KX221" s="692"/>
      <c r="KY221" s="692"/>
      <c r="KZ221" s="692"/>
      <c r="LA221" s="692"/>
      <c r="LB221" s="692"/>
      <c r="LC221" s="692"/>
      <c r="LD221" s="692"/>
      <c r="LE221" s="692"/>
      <c r="LF221" s="692"/>
      <c r="LG221" s="692"/>
      <c r="LH221" s="692"/>
      <c r="LI221" s="692"/>
      <c r="LJ221" s="692"/>
      <c r="LK221" s="692"/>
      <c r="LL221" s="692"/>
      <c r="LM221" s="692"/>
      <c r="LN221" s="692"/>
      <c r="LO221" s="692"/>
      <c r="LP221" s="692"/>
      <c r="LQ221" s="692"/>
      <c r="LR221" s="692"/>
      <c r="LS221" s="692"/>
      <c r="LT221" s="692"/>
      <c r="LU221" s="692"/>
      <c r="LV221" s="692"/>
      <c r="LW221" s="692"/>
      <c r="LX221" s="692"/>
      <c r="LY221" s="692"/>
      <c r="LZ221" s="692"/>
      <c r="MA221" s="692"/>
      <c r="MB221" s="692"/>
      <c r="MC221" s="692"/>
      <c r="MD221" s="692"/>
      <c r="ME221" s="692"/>
      <c r="MF221" s="692"/>
      <c r="MG221" s="692"/>
      <c r="MH221" s="692"/>
      <c r="MI221" s="692"/>
      <c r="MJ221" s="692"/>
      <c r="MK221" s="692"/>
      <c r="ML221" s="692"/>
      <c r="MM221" s="692"/>
      <c r="MN221" s="692"/>
      <c r="MO221" s="692"/>
      <c r="MP221" s="692"/>
      <c r="MQ221" s="692"/>
      <c r="MR221" s="692"/>
      <c r="MS221" s="692"/>
      <c r="MT221" s="692"/>
      <c r="MU221" s="692"/>
      <c r="MV221" s="692"/>
      <c r="MW221" s="692"/>
      <c r="MX221" s="692"/>
      <c r="MY221" s="692"/>
      <c r="MZ221" s="692"/>
      <c r="NA221" s="692"/>
      <c r="NB221" s="692"/>
      <c r="NC221" s="692"/>
      <c r="ND221" s="692"/>
      <c r="NE221" s="692"/>
      <c r="NF221" s="692"/>
      <c r="NG221" s="692"/>
      <c r="NH221" s="692"/>
      <c r="NI221" s="692"/>
      <c r="NJ221" s="692"/>
      <c r="NK221" s="692"/>
      <c r="NL221" s="692"/>
      <c r="NM221" s="692"/>
      <c r="NN221" s="692"/>
      <c r="NO221" s="692"/>
      <c r="NP221" s="692"/>
      <c r="NQ221" s="692"/>
      <c r="NR221" s="692"/>
    </row>
    <row r="222" spans="1:382" ht="27.75" thickBot="1" x14ac:dyDescent="0.3">
      <c r="A222" s="679"/>
      <c r="B222" s="679" t="s">
        <v>1688</v>
      </c>
      <c r="C222" s="506">
        <f>'Conversion factors'!B3</f>
        <v>1.1200000000000001</v>
      </c>
      <c r="D222" s="682" t="s">
        <v>1689</v>
      </c>
      <c r="E222" s="679"/>
      <c r="F222" s="218" t="s">
        <v>1690</v>
      </c>
      <c r="G222" s="280"/>
      <c r="H222" s="692"/>
      <c r="I222" s="692"/>
      <c r="J222" s="692"/>
      <c r="K222" s="692"/>
      <c r="L222" s="692"/>
      <c r="M222" s="692"/>
      <c r="N222" s="692"/>
      <c r="O222" s="692"/>
      <c r="P222" s="692"/>
      <c r="Q222" s="692"/>
      <c r="R222" s="692"/>
      <c r="S222" s="692"/>
      <c r="T222" s="692"/>
      <c r="U222" s="692"/>
      <c r="V222" s="692"/>
      <c r="W222" s="692"/>
      <c r="X222" s="692"/>
      <c r="Y222" s="692"/>
      <c r="Z222" s="692"/>
      <c r="AA222" s="692"/>
      <c r="AB222" s="692"/>
      <c r="AC222" s="692"/>
      <c r="AD222" s="692"/>
      <c r="AE222" s="692"/>
      <c r="AF222" s="692"/>
      <c r="AG222" s="692"/>
      <c r="AH222" s="692"/>
      <c r="AI222" s="692"/>
      <c r="AJ222" s="692"/>
      <c r="AK222" s="692"/>
      <c r="AL222" s="692"/>
      <c r="AM222" s="692"/>
      <c r="AN222" s="692"/>
      <c r="AO222" s="692"/>
      <c r="AP222" s="692"/>
      <c r="AQ222" s="692"/>
      <c r="AR222" s="692"/>
      <c r="AS222" s="692"/>
      <c r="AT222" s="692"/>
      <c r="AU222" s="692"/>
      <c r="AV222" s="692"/>
      <c r="AW222" s="692"/>
      <c r="AX222" s="692"/>
      <c r="AY222" s="692"/>
      <c r="AZ222" s="692"/>
      <c r="BA222" s="692"/>
      <c r="BB222" s="692"/>
      <c r="BC222" s="692"/>
      <c r="BD222" s="692"/>
      <c r="BE222" s="692"/>
      <c r="BF222" s="692"/>
      <c r="BG222" s="692"/>
      <c r="BH222" s="692"/>
      <c r="BI222" s="692"/>
      <c r="BJ222" s="692"/>
      <c r="BK222" s="692"/>
      <c r="BL222" s="692"/>
      <c r="BM222" s="692"/>
      <c r="BN222" s="692"/>
      <c r="BO222" s="692"/>
      <c r="BP222" s="692"/>
      <c r="BQ222" s="692"/>
      <c r="BR222" s="692"/>
      <c r="BS222" s="692"/>
      <c r="BT222" s="692"/>
      <c r="BU222" s="692"/>
      <c r="BV222" s="692"/>
      <c r="BW222" s="692"/>
      <c r="BX222" s="692"/>
      <c r="BY222" s="692"/>
      <c r="BZ222" s="692"/>
      <c r="CA222" s="692"/>
      <c r="CB222" s="692"/>
      <c r="CC222" s="692"/>
      <c r="CD222" s="692"/>
      <c r="CE222" s="692"/>
      <c r="CF222" s="692"/>
      <c r="CG222" s="692"/>
      <c r="CH222" s="692"/>
      <c r="CI222" s="692"/>
      <c r="CJ222" s="692"/>
      <c r="CK222" s="692"/>
      <c r="CL222" s="692"/>
      <c r="CM222" s="692"/>
      <c r="CN222" s="692"/>
      <c r="CO222" s="692"/>
      <c r="CP222" s="692"/>
      <c r="CQ222" s="692"/>
      <c r="CR222" s="692"/>
      <c r="CS222" s="692"/>
      <c r="CT222" s="692"/>
      <c r="CU222" s="692"/>
      <c r="CV222" s="692"/>
      <c r="CW222" s="692"/>
      <c r="CX222" s="692"/>
      <c r="CY222" s="692"/>
      <c r="CZ222" s="692"/>
      <c r="DA222" s="692"/>
      <c r="DB222" s="692"/>
      <c r="DC222" s="692"/>
      <c r="DD222" s="692"/>
      <c r="DE222" s="692"/>
      <c r="DF222" s="692"/>
      <c r="DG222" s="692"/>
      <c r="DH222" s="692"/>
      <c r="DI222" s="692"/>
      <c r="DJ222" s="692"/>
      <c r="DK222" s="692"/>
      <c r="DL222" s="692"/>
      <c r="DM222" s="692"/>
      <c r="DN222" s="692"/>
      <c r="DO222" s="692"/>
      <c r="DP222" s="692"/>
      <c r="DQ222" s="692"/>
      <c r="DR222" s="692"/>
      <c r="DS222" s="692"/>
      <c r="DT222" s="692"/>
      <c r="DU222" s="692"/>
      <c r="DV222" s="692"/>
      <c r="DW222" s="692"/>
      <c r="DX222" s="692"/>
      <c r="DY222" s="692"/>
      <c r="DZ222" s="692"/>
      <c r="EA222" s="692"/>
      <c r="EB222" s="692"/>
      <c r="EC222" s="692"/>
      <c r="ED222" s="692"/>
      <c r="EE222" s="692"/>
      <c r="EF222" s="692"/>
      <c r="EG222" s="692"/>
      <c r="EH222" s="692"/>
      <c r="EI222" s="692"/>
      <c r="EJ222" s="692"/>
      <c r="EK222" s="692"/>
      <c r="EL222" s="692"/>
      <c r="EM222" s="692"/>
      <c r="EN222" s="692"/>
      <c r="EO222" s="692"/>
      <c r="EP222" s="692"/>
      <c r="EQ222" s="692"/>
      <c r="ER222" s="692"/>
      <c r="ES222" s="692"/>
      <c r="ET222" s="692"/>
      <c r="EU222" s="692"/>
      <c r="EV222" s="692"/>
      <c r="EW222" s="692"/>
      <c r="EX222" s="692"/>
      <c r="EY222" s="692"/>
      <c r="EZ222" s="692"/>
      <c r="FA222" s="692"/>
      <c r="FB222" s="692"/>
      <c r="FC222" s="692"/>
      <c r="FD222" s="692"/>
      <c r="FE222" s="692"/>
      <c r="FF222" s="692"/>
      <c r="FG222" s="692"/>
      <c r="FH222" s="692"/>
      <c r="FI222" s="692"/>
      <c r="FJ222" s="692"/>
      <c r="FK222" s="692"/>
      <c r="FL222" s="692"/>
      <c r="FM222" s="692"/>
      <c r="FN222" s="692"/>
      <c r="FO222" s="692"/>
      <c r="FP222" s="692"/>
      <c r="FQ222" s="692"/>
      <c r="FR222" s="692"/>
      <c r="FS222" s="692"/>
      <c r="FT222" s="692"/>
      <c r="FU222" s="692"/>
      <c r="FV222" s="692"/>
      <c r="FW222" s="692"/>
      <c r="FX222" s="692"/>
      <c r="FY222" s="692"/>
      <c r="FZ222" s="692"/>
      <c r="GA222" s="692"/>
      <c r="GB222" s="692"/>
      <c r="GC222" s="692"/>
      <c r="GD222" s="692"/>
      <c r="GE222" s="692"/>
      <c r="GF222" s="692"/>
      <c r="GG222" s="692"/>
      <c r="GH222" s="692"/>
      <c r="GI222" s="692"/>
      <c r="GJ222" s="692"/>
      <c r="GK222" s="692"/>
      <c r="GL222" s="692"/>
      <c r="GM222" s="692"/>
      <c r="GN222" s="692"/>
      <c r="GO222" s="692"/>
      <c r="GP222" s="692"/>
      <c r="GQ222" s="692"/>
      <c r="GR222" s="692"/>
      <c r="GS222" s="692"/>
      <c r="GT222" s="692"/>
      <c r="GU222" s="692"/>
      <c r="GV222" s="692"/>
      <c r="GW222" s="692"/>
      <c r="GX222" s="692"/>
      <c r="GY222" s="692"/>
      <c r="GZ222" s="692"/>
      <c r="HA222" s="692"/>
      <c r="HB222" s="692"/>
      <c r="HC222" s="692"/>
      <c r="HD222" s="692"/>
      <c r="HE222" s="692"/>
      <c r="HF222" s="692"/>
      <c r="HG222" s="692"/>
      <c r="HH222" s="692"/>
      <c r="HI222" s="692"/>
      <c r="HJ222" s="692"/>
      <c r="HK222" s="692"/>
      <c r="HL222" s="692"/>
      <c r="HM222" s="692"/>
      <c r="HN222" s="692"/>
      <c r="HO222" s="692"/>
      <c r="HP222" s="692"/>
      <c r="HQ222" s="692"/>
      <c r="HR222" s="692"/>
      <c r="HS222" s="692"/>
      <c r="HT222" s="692"/>
      <c r="HU222" s="692"/>
      <c r="HV222" s="692"/>
      <c r="HW222" s="692"/>
      <c r="HX222" s="692"/>
      <c r="HY222" s="692"/>
      <c r="HZ222" s="692"/>
      <c r="IA222" s="692"/>
      <c r="IB222" s="692"/>
      <c r="IC222" s="692"/>
      <c r="ID222" s="692"/>
      <c r="IE222" s="692"/>
      <c r="IF222" s="692"/>
      <c r="IG222" s="692"/>
      <c r="IH222" s="692"/>
      <c r="II222" s="692"/>
      <c r="IJ222" s="692"/>
      <c r="IK222" s="692"/>
      <c r="IL222" s="692"/>
      <c r="IM222" s="692"/>
      <c r="IN222" s="692"/>
      <c r="IO222" s="692"/>
      <c r="IP222" s="692"/>
      <c r="IQ222" s="692"/>
      <c r="IR222" s="692"/>
      <c r="IS222" s="692"/>
      <c r="IT222" s="692"/>
      <c r="IU222" s="692"/>
      <c r="IV222" s="692"/>
      <c r="IW222" s="692"/>
      <c r="IX222" s="692"/>
      <c r="IY222" s="692"/>
      <c r="IZ222" s="692"/>
      <c r="JA222" s="692"/>
      <c r="JB222" s="692"/>
      <c r="JC222" s="692"/>
      <c r="JD222" s="692"/>
      <c r="JE222" s="692"/>
      <c r="JF222" s="692"/>
      <c r="JG222" s="692"/>
      <c r="JH222" s="692"/>
      <c r="JI222" s="692"/>
      <c r="JJ222" s="692"/>
      <c r="JK222" s="692"/>
      <c r="JL222" s="692"/>
      <c r="JM222" s="692"/>
      <c r="JN222" s="692"/>
      <c r="JO222" s="692"/>
      <c r="JP222" s="692"/>
      <c r="JQ222" s="692"/>
      <c r="JR222" s="692"/>
      <c r="JS222" s="692"/>
      <c r="JT222" s="692"/>
      <c r="JU222" s="692"/>
      <c r="JV222" s="692"/>
      <c r="JW222" s="692"/>
      <c r="JX222" s="692"/>
      <c r="JY222" s="692"/>
      <c r="JZ222" s="692"/>
      <c r="KA222" s="692"/>
      <c r="KB222" s="692"/>
      <c r="KC222" s="692"/>
      <c r="KD222" s="692"/>
      <c r="KE222" s="692"/>
      <c r="KF222" s="692"/>
      <c r="KG222" s="692"/>
      <c r="KH222" s="692"/>
      <c r="KI222" s="692"/>
      <c r="KJ222" s="692"/>
      <c r="KK222" s="692"/>
      <c r="KL222" s="692"/>
      <c r="KM222" s="692"/>
      <c r="KN222" s="692"/>
      <c r="KO222" s="692"/>
      <c r="KP222" s="692"/>
      <c r="KQ222" s="692"/>
      <c r="KR222" s="692"/>
      <c r="KS222" s="692"/>
      <c r="KT222" s="692"/>
      <c r="KU222" s="692"/>
      <c r="KV222" s="692"/>
      <c r="KW222" s="692"/>
      <c r="KX222" s="692"/>
      <c r="KY222" s="692"/>
      <c r="KZ222" s="692"/>
      <c r="LA222" s="692"/>
      <c r="LB222" s="692"/>
      <c r="LC222" s="692"/>
      <c r="LD222" s="692"/>
      <c r="LE222" s="692"/>
      <c r="LF222" s="692"/>
      <c r="LG222" s="692"/>
      <c r="LH222" s="692"/>
      <c r="LI222" s="692"/>
      <c r="LJ222" s="692"/>
      <c r="LK222" s="692"/>
      <c r="LL222" s="692"/>
      <c r="LM222" s="692"/>
      <c r="LN222" s="692"/>
      <c r="LO222" s="692"/>
      <c r="LP222" s="692"/>
      <c r="LQ222" s="692"/>
      <c r="LR222" s="692"/>
      <c r="LS222" s="692"/>
      <c r="LT222" s="692"/>
      <c r="LU222" s="692"/>
      <c r="LV222" s="692"/>
      <c r="LW222" s="692"/>
      <c r="LX222" s="692"/>
      <c r="LY222" s="692"/>
      <c r="LZ222" s="692"/>
      <c r="MA222" s="692"/>
      <c r="MB222" s="692"/>
      <c r="MC222" s="692"/>
      <c r="MD222" s="692"/>
      <c r="ME222" s="692"/>
      <c r="MF222" s="692"/>
      <c r="MG222" s="692"/>
      <c r="MH222" s="692"/>
      <c r="MI222" s="692"/>
      <c r="MJ222" s="692"/>
      <c r="MK222" s="692"/>
      <c r="ML222" s="692"/>
      <c r="MM222" s="692"/>
      <c r="MN222" s="692"/>
      <c r="MO222" s="692"/>
      <c r="MP222" s="692"/>
      <c r="MQ222" s="692"/>
      <c r="MR222" s="692"/>
      <c r="MS222" s="692"/>
      <c r="MT222" s="692"/>
      <c r="MU222" s="692"/>
      <c r="MV222" s="692"/>
      <c r="MW222" s="692"/>
      <c r="MX222" s="692"/>
      <c r="MY222" s="692"/>
      <c r="MZ222" s="692"/>
      <c r="NA222" s="692"/>
      <c r="NB222" s="692"/>
      <c r="NC222" s="692"/>
      <c r="ND222" s="692"/>
      <c r="NE222" s="692"/>
      <c r="NF222" s="692"/>
      <c r="NG222" s="692"/>
      <c r="NH222" s="692"/>
      <c r="NI222" s="692"/>
      <c r="NJ222" s="692"/>
      <c r="NK222" s="692"/>
      <c r="NL222" s="692"/>
      <c r="NM222" s="692"/>
      <c r="NN222" s="692"/>
      <c r="NO222" s="692"/>
      <c r="NP222" s="692"/>
      <c r="NQ222" s="692"/>
      <c r="NR222" s="692"/>
    </row>
    <row r="223" spans="1:382" ht="15.75" thickBot="1" x14ac:dyDescent="0.3">
      <c r="A223" s="679"/>
      <c r="B223" s="189" t="s">
        <v>1691</v>
      </c>
      <c r="C223" s="114">
        <f>C221*C222</f>
        <v>0</v>
      </c>
      <c r="D223" s="680" t="s">
        <v>1575</v>
      </c>
      <c r="E223" s="679"/>
      <c r="F223" s="203"/>
      <c r="G223" s="280"/>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709"/>
      <c r="AG223" s="709"/>
      <c r="AH223" s="709"/>
      <c r="AI223" s="709"/>
      <c r="AJ223" s="709"/>
      <c r="AK223" s="709"/>
      <c r="AL223" s="709"/>
      <c r="AM223" s="709"/>
      <c r="AN223" s="709"/>
      <c r="AO223" s="709"/>
      <c r="AP223" s="709"/>
      <c r="AQ223" s="709"/>
      <c r="AR223" s="709"/>
      <c r="AS223" s="709"/>
      <c r="AT223" s="709"/>
      <c r="AU223" s="709"/>
      <c r="AV223" s="709"/>
      <c r="AW223" s="709"/>
      <c r="AX223" s="709"/>
      <c r="AY223" s="709"/>
      <c r="AZ223" s="709"/>
      <c r="BA223" s="709"/>
      <c r="BB223" s="709"/>
      <c r="BC223" s="709"/>
      <c r="BD223" s="709"/>
      <c r="BE223" s="709"/>
      <c r="BF223" s="709"/>
      <c r="BG223" s="709"/>
      <c r="BH223" s="709"/>
      <c r="BI223" s="709"/>
      <c r="BJ223" s="709"/>
      <c r="BK223" s="709"/>
      <c r="BL223" s="709"/>
      <c r="BM223" s="709"/>
      <c r="BN223" s="709"/>
      <c r="BO223" s="709"/>
      <c r="BP223" s="709"/>
      <c r="BQ223" s="709"/>
      <c r="BR223" s="709"/>
      <c r="BS223" s="709"/>
      <c r="BT223" s="709"/>
      <c r="BU223" s="709"/>
      <c r="BV223" s="709"/>
      <c r="BW223" s="709"/>
      <c r="BX223" s="709"/>
      <c r="BY223" s="709"/>
      <c r="BZ223" s="709"/>
      <c r="CA223" s="709"/>
      <c r="CB223" s="709"/>
      <c r="CC223" s="709"/>
      <c r="CD223" s="709"/>
      <c r="CE223" s="709"/>
      <c r="CF223" s="709"/>
      <c r="CG223" s="709"/>
      <c r="CH223" s="709"/>
      <c r="CI223" s="709"/>
      <c r="CJ223" s="709"/>
      <c r="CK223" s="709"/>
      <c r="CL223" s="709"/>
      <c r="CM223" s="709"/>
      <c r="CN223" s="709"/>
      <c r="CO223" s="709"/>
      <c r="CP223" s="709"/>
      <c r="CQ223" s="709"/>
      <c r="CR223" s="709"/>
      <c r="CS223" s="709"/>
      <c r="CT223" s="709"/>
      <c r="CU223" s="709"/>
      <c r="CV223" s="709"/>
      <c r="CW223" s="709"/>
      <c r="CX223" s="709"/>
      <c r="CY223" s="709"/>
      <c r="CZ223" s="709"/>
      <c r="DA223" s="709"/>
      <c r="DB223" s="709"/>
      <c r="DC223" s="709"/>
      <c r="DD223" s="709"/>
      <c r="DE223" s="709"/>
      <c r="DF223" s="709"/>
      <c r="DG223" s="709"/>
      <c r="DH223" s="709"/>
      <c r="DI223" s="709"/>
      <c r="DJ223" s="709"/>
      <c r="DK223" s="709"/>
      <c r="DL223" s="709"/>
      <c r="DM223" s="709"/>
      <c r="DN223" s="709"/>
      <c r="DO223" s="709"/>
      <c r="DP223" s="709"/>
      <c r="DQ223" s="709"/>
      <c r="DR223" s="709"/>
      <c r="DS223" s="709"/>
      <c r="DT223" s="709"/>
      <c r="DU223" s="709"/>
      <c r="DV223" s="709"/>
      <c r="DW223" s="709"/>
      <c r="DX223" s="709"/>
      <c r="DY223" s="709"/>
      <c r="DZ223" s="709"/>
      <c r="EA223" s="709"/>
      <c r="EB223" s="709"/>
      <c r="EC223" s="709"/>
      <c r="ED223" s="709"/>
      <c r="EE223" s="709"/>
      <c r="EF223" s="709"/>
      <c r="EG223" s="709"/>
      <c r="EH223" s="709"/>
      <c r="EI223" s="709"/>
      <c r="EJ223" s="709"/>
      <c r="EK223" s="709"/>
      <c r="EL223" s="709"/>
      <c r="EM223" s="709"/>
      <c r="EN223" s="709"/>
      <c r="EO223" s="709"/>
      <c r="EP223" s="709"/>
      <c r="EQ223" s="709"/>
      <c r="ER223" s="709"/>
      <c r="ES223" s="709"/>
      <c r="ET223" s="709"/>
      <c r="EU223" s="709"/>
      <c r="EV223" s="709"/>
      <c r="EW223" s="709"/>
      <c r="EX223" s="709"/>
      <c r="EY223" s="709"/>
      <c r="EZ223" s="709"/>
      <c r="FA223" s="709"/>
      <c r="FB223" s="709"/>
      <c r="FC223" s="709"/>
      <c r="FD223" s="709"/>
      <c r="FE223" s="709"/>
      <c r="FF223" s="709"/>
      <c r="FG223" s="709"/>
      <c r="FH223" s="709"/>
      <c r="FI223" s="709"/>
      <c r="FJ223" s="709"/>
      <c r="FK223" s="709"/>
      <c r="FL223" s="709"/>
      <c r="FM223" s="709"/>
      <c r="FN223" s="709"/>
      <c r="FO223" s="709"/>
      <c r="FP223" s="709"/>
      <c r="FQ223" s="709"/>
      <c r="FR223" s="709"/>
      <c r="FS223" s="709"/>
      <c r="FT223" s="709"/>
      <c r="FU223" s="709"/>
      <c r="FV223" s="709"/>
      <c r="FW223" s="709"/>
      <c r="FX223" s="709"/>
      <c r="FY223" s="709"/>
      <c r="FZ223" s="709"/>
      <c r="GA223" s="709"/>
      <c r="GB223" s="709"/>
      <c r="GC223" s="709"/>
      <c r="GD223" s="709"/>
      <c r="GE223" s="709"/>
      <c r="GF223" s="709"/>
      <c r="GG223" s="709"/>
      <c r="GH223" s="709"/>
      <c r="GI223" s="709"/>
      <c r="GJ223" s="709"/>
      <c r="GK223" s="709"/>
      <c r="GL223" s="709"/>
      <c r="GM223" s="709"/>
      <c r="GN223" s="709"/>
      <c r="GO223" s="709"/>
      <c r="GP223" s="709"/>
      <c r="GQ223" s="709"/>
      <c r="GR223" s="709"/>
      <c r="GS223" s="709"/>
      <c r="GT223" s="709"/>
      <c r="GU223" s="709"/>
      <c r="GV223" s="709"/>
      <c r="GW223" s="709"/>
      <c r="GX223" s="709"/>
      <c r="GY223" s="709"/>
      <c r="GZ223" s="709"/>
      <c r="HA223" s="709"/>
      <c r="HB223" s="709"/>
      <c r="HC223" s="709"/>
      <c r="HD223" s="709"/>
      <c r="HE223" s="709"/>
      <c r="HF223" s="709"/>
      <c r="HG223" s="709"/>
      <c r="HH223" s="709"/>
      <c r="HI223" s="709"/>
      <c r="HJ223" s="709"/>
      <c r="HK223" s="709"/>
      <c r="HL223" s="709"/>
      <c r="HM223" s="709"/>
      <c r="HN223" s="709"/>
      <c r="HO223" s="709"/>
      <c r="HP223" s="709"/>
      <c r="HQ223" s="709"/>
      <c r="HR223" s="709"/>
      <c r="HS223" s="709"/>
      <c r="HT223" s="709"/>
      <c r="HU223" s="709"/>
      <c r="HV223" s="709"/>
      <c r="HW223" s="709"/>
      <c r="HX223" s="709"/>
      <c r="HY223" s="709"/>
      <c r="HZ223" s="709"/>
      <c r="IA223" s="709"/>
      <c r="IB223" s="709"/>
      <c r="IC223" s="709"/>
      <c r="ID223" s="709"/>
      <c r="IE223" s="709"/>
      <c r="IF223" s="709"/>
      <c r="IG223" s="709"/>
      <c r="IH223" s="709"/>
      <c r="II223" s="709"/>
      <c r="IJ223" s="709"/>
      <c r="IK223" s="709"/>
      <c r="IL223" s="709"/>
      <c r="IM223" s="709"/>
      <c r="IN223" s="709"/>
      <c r="IO223" s="709"/>
      <c r="IP223" s="709"/>
      <c r="IQ223" s="709"/>
      <c r="IR223" s="709"/>
      <c r="IS223" s="709"/>
      <c r="IT223" s="709"/>
      <c r="IU223" s="709"/>
      <c r="IV223" s="709"/>
      <c r="IW223" s="709"/>
      <c r="IX223" s="709"/>
      <c r="IY223" s="709"/>
      <c r="IZ223" s="709"/>
      <c r="JA223" s="709"/>
      <c r="JB223" s="709"/>
      <c r="JC223" s="709"/>
      <c r="JD223" s="709"/>
      <c r="JE223" s="709"/>
      <c r="JF223" s="709"/>
      <c r="JG223" s="709"/>
      <c r="JH223" s="709"/>
      <c r="JI223" s="709"/>
      <c r="JJ223" s="709"/>
      <c r="JK223" s="709"/>
      <c r="JL223" s="709"/>
      <c r="JM223" s="709"/>
      <c r="JN223" s="709"/>
      <c r="JO223" s="709"/>
      <c r="JP223" s="709"/>
      <c r="JQ223" s="709"/>
      <c r="JR223" s="709"/>
      <c r="JS223" s="709"/>
      <c r="JT223" s="709"/>
      <c r="JU223" s="709"/>
      <c r="JV223" s="709"/>
      <c r="JW223" s="709"/>
      <c r="JX223" s="709"/>
      <c r="JY223" s="709"/>
      <c r="JZ223" s="709"/>
      <c r="KA223" s="709"/>
      <c r="KB223" s="709"/>
      <c r="KC223" s="709"/>
      <c r="KD223" s="709"/>
      <c r="KE223" s="709"/>
      <c r="KF223" s="709"/>
      <c r="KG223" s="709"/>
      <c r="KH223" s="709"/>
      <c r="KI223" s="709"/>
      <c r="KJ223" s="709"/>
      <c r="KK223" s="709"/>
      <c r="KL223" s="709"/>
      <c r="KM223" s="709"/>
      <c r="KN223" s="709"/>
      <c r="KO223" s="709"/>
      <c r="KP223" s="709"/>
      <c r="KQ223" s="709"/>
      <c r="KR223" s="709"/>
      <c r="KS223" s="709"/>
      <c r="KT223" s="709"/>
      <c r="KU223" s="709"/>
      <c r="KV223" s="709"/>
      <c r="KW223" s="709"/>
      <c r="KX223" s="709"/>
      <c r="KY223" s="709"/>
      <c r="KZ223" s="709"/>
      <c r="LA223" s="709"/>
      <c r="LB223" s="709"/>
      <c r="LC223" s="709"/>
      <c r="LD223" s="709"/>
      <c r="LE223" s="709"/>
      <c r="LF223" s="709"/>
      <c r="LG223" s="709"/>
      <c r="LH223" s="709"/>
      <c r="LI223" s="709"/>
      <c r="LJ223" s="709"/>
      <c r="LK223" s="709"/>
      <c r="LL223" s="709"/>
      <c r="LM223" s="709"/>
      <c r="LN223" s="709"/>
      <c r="LO223" s="709"/>
      <c r="LP223" s="709"/>
      <c r="LQ223" s="709"/>
      <c r="LR223" s="709"/>
      <c r="LS223" s="709"/>
      <c r="LT223" s="709"/>
      <c r="LU223" s="709"/>
      <c r="LV223" s="709"/>
      <c r="LW223" s="709"/>
      <c r="LX223" s="709"/>
      <c r="LY223" s="709"/>
      <c r="LZ223" s="709"/>
      <c r="MA223" s="709"/>
      <c r="MB223" s="709"/>
      <c r="MC223" s="709"/>
      <c r="MD223" s="709"/>
      <c r="ME223" s="709"/>
      <c r="MF223" s="709"/>
      <c r="MG223" s="709"/>
      <c r="MH223" s="709"/>
      <c r="MI223" s="709"/>
      <c r="MJ223" s="709"/>
      <c r="MK223" s="709"/>
      <c r="ML223" s="709"/>
      <c r="MM223" s="709"/>
      <c r="MN223" s="709"/>
      <c r="MO223" s="709"/>
      <c r="MP223" s="709"/>
      <c r="MQ223" s="709"/>
      <c r="MR223" s="709"/>
      <c r="MS223" s="709"/>
      <c r="MT223" s="709"/>
      <c r="MU223" s="709"/>
      <c r="MV223" s="709"/>
      <c r="MW223" s="709"/>
      <c r="MX223" s="709"/>
      <c r="MY223" s="709"/>
      <c r="MZ223" s="709"/>
      <c r="NA223" s="709"/>
      <c r="NB223" s="709"/>
      <c r="NC223" s="709"/>
      <c r="ND223" s="709"/>
      <c r="NE223" s="709"/>
      <c r="NF223" s="709"/>
      <c r="NG223" s="709"/>
      <c r="NH223" s="709"/>
      <c r="NI223" s="709"/>
      <c r="NJ223" s="709"/>
      <c r="NK223" s="709"/>
      <c r="NL223" s="709"/>
      <c r="NM223" s="709"/>
      <c r="NN223" s="709"/>
      <c r="NO223" s="709"/>
      <c r="NP223" s="692"/>
      <c r="NQ223" s="692"/>
      <c r="NR223" s="692"/>
    </row>
    <row r="224" spans="1:382" x14ac:dyDescent="0.25">
      <c r="A224" s="8"/>
      <c r="B224" s="679"/>
      <c r="C224" s="114"/>
      <c r="D224" s="25"/>
      <c r="E224" s="26"/>
      <c r="F224" s="202"/>
      <c r="G224" s="280"/>
      <c r="H224" s="709"/>
      <c r="I224" s="709"/>
      <c r="J224" s="709"/>
      <c r="K224" s="709"/>
      <c r="L224" s="709"/>
      <c r="M224" s="709"/>
      <c r="N224" s="709"/>
      <c r="O224" s="709"/>
      <c r="P224" s="709"/>
      <c r="Q224" s="709"/>
      <c r="R224" s="709"/>
      <c r="S224" s="709"/>
      <c r="T224" s="709"/>
      <c r="U224" s="709"/>
      <c r="V224" s="709"/>
      <c r="W224" s="709"/>
      <c r="X224" s="709"/>
      <c r="Y224" s="709"/>
      <c r="Z224" s="709"/>
      <c r="AA224" s="709"/>
      <c r="AB224" s="709"/>
      <c r="AC224" s="709"/>
      <c r="AD224" s="709"/>
      <c r="AE224" s="709"/>
      <c r="AF224" s="709"/>
      <c r="AG224" s="709"/>
      <c r="AH224" s="709"/>
      <c r="AI224" s="709"/>
      <c r="AJ224" s="709"/>
      <c r="AK224" s="709"/>
      <c r="AL224" s="709"/>
      <c r="AM224" s="709"/>
      <c r="AN224" s="709"/>
      <c r="AO224" s="709"/>
      <c r="AP224" s="709"/>
      <c r="AQ224" s="709"/>
      <c r="AR224" s="709"/>
      <c r="AS224" s="709"/>
      <c r="AT224" s="709"/>
      <c r="AU224" s="709"/>
      <c r="AV224" s="709"/>
      <c r="AW224" s="709"/>
      <c r="AX224" s="709"/>
      <c r="AY224" s="709"/>
      <c r="AZ224" s="709"/>
      <c r="BA224" s="709"/>
      <c r="BB224" s="709"/>
      <c r="BC224" s="709"/>
      <c r="BD224" s="709"/>
      <c r="BE224" s="709"/>
      <c r="BF224" s="709"/>
      <c r="BG224" s="709"/>
      <c r="BH224" s="709"/>
      <c r="BI224" s="709"/>
      <c r="BJ224" s="709"/>
      <c r="BK224" s="709"/>
      <c r="BL224" s="709"/>
      <c r="BM224" s="709"/>
      <c r="BN224" s="709"/>
      <c r="BO224" s="709"/>
      <c r="BP224" s="709"/>
      <c r="BQ224" s="709"/>
      <c r="BR224" s="709"/>
      <c r="BS224" s="709"/>
      <c r="BT224" s="709"/>
      <c r="BU224" s="709"/>
      <c r="BV224" s="709"/>
      <c r="BW224" s="709"/>
      <c r="BX224" s="709"/>
      <c r="BY224" s="709"/>
      <c r="BZ224" s="709"/>
      <c r="CA224" s="709"/>
      <c r="CB224" s="709"/>
      <c r="CC224" s="709"/>
      <c r="CD224" s="709"/>
      <c r="CE224" s="709"/>
      <c r="CF224" s="709"/>
      <c r="CG224" s="709"/>
      <c r="CH224" s="709"/>
      <c r="CI224" s="709"/>
      <c r="CJ224" s="709"/>
      <c r="CK224" s="709"/>
      <c r="CL224" s="709"/>
      <c r="CM224" s="709"/>
      <c r="CN224" s="709"/>
      <c r="CO224" s="709"/>
      <c r="CP224" s="709"/>
      <c r="CQ224" s="709"/>
      <c r="CR224" s="709"/>
      <c r="CS224" s="709"/>
      <c r="CT224" s="709"/>
      <c r="CU224" s="709"/>
      <c r="CV224" s="709"/>
      <c r="CW224" s="709"/>
      <c r="CX224" s="709"/>
      <c r="CY224" s="709"/>
      <c r="CZ224" s="709"/>
      <c r="DA224" s="709"/>
      <c r="DB224" s="709"/>
      <c r="DC224" s="709"/>
      <c r="DD224" s="709"/>
      <c r="DE224" s="709"/>
      <c r="DF224" s="709"/>
      <c r="DG224" s="709"/>
      <c r="DH224" s="709"/>
      <c r="DI224" s="709"/>
      <c r="DJ224" s="709"/>
      <c r="DK224" s="709"/>
      <c r="DL224" s="709"/>
      <c r="DM224" s="709"/>
      <c r="DN224" s="709"/>
      <c r="DO224" s="709"/>
      <c r="DP224" s="709"/>
      <c r="DQ224" s="709"/>
      <c r="DR224" s="709"/>
      <c r="DS224" s="709"/>
      <c r="DT224" s="709"/>
      <c r="DU224" s="709"/>
      <c r="DV224" s="709"/>
      <c r="DW224" s="709"/>
      <c r="DX224" s="709"/>
      <c r="DY224" s="709"/>
      <c r="DZ224" s="709"/>
      <c r="EA224" s="709"/>
      <c r="EB224" s="709"/>
      <c r="EC224" s="709"/>
      <c r="ED224" s="709"/>
      <c r="EE224" s="709"/>
      <c r="EF224" s="709"/>
      <c r="EG224" s="709"/>
      <c r="EH224" s="709"/>
      <c r="EI224" s="709"/>
      <c r="EJ224" s="709"/>
      <c r="EK224" s="709"/>
      <c r="EL224" s="709"/>
      <c r="EM224" s="709"/>
      <c r="EN224" s="709"/>
      <c r="EO224" s="709"/>
      <c r="EP224" s="709"/>
      <c r="EQ224" s="709"/>
      <c r="ER224" s="709"/>
      <c r="ES224" s="709"/>
      <c r="ET224" s="709"/>
      <c r="EU224" s="709"/>
      <c r="EV224" s="709"/>
      <c r="EW224" s="709"/>
      <c r="EX224" s="709"/>
      <c r="EY224" s="709"/>
      <c r="EZ224" s="709"/>
      <c r="FA224" s="709"/>
      <c r="FB224" s="709"/>
      <c r="FC224" s="709"/>
      <c r="FD224" s="709"/>
      <c r="FE224" s="709"/>
      <c r="FF224" s="709"/>
      <c r="FG224" s="709"/>
      <c r="FH224" s="709"/>
      <c r="FI224" s="709"/>
      <c r="FJ224" s="709"/>
      <c r="FK224" s="709"/>
      <c r="FL224" s="709"/>
      <c r="FM224" s="709"/>
      <c r="FN224" s="709"/>
      <c r="FO224" s="709"/>
      <c r="FP224" s="709"/>
      <c r="FQ224" s="709"/>
      <c r="FR224" s="709"/>
      <c r="FS224" s="709"/>
      <c r="FT224" s="709"/>
      <c r="FU224" s="709"/>
      <c r="FV224" s="709"/>
      <c r="FW224" s="709"/>
      <c r="FX224" s="709"/>
      <c r="FY224" s="709"/>
      <c r="FZ224" s="709"/>
      <c r="GA224" s="709"/>
      <c r="GB224" s="709"/>
      <c r="GC224" s="709"/>
      <c r="GD224" s="709"/>
      <c r="GE224" s="709"/>
      <c r="GF224" s="709"/>
      <c r="GG224" s="709"/>
      <c r="GH224" s="709"/>
      <c r="GI224" s="709"/>
      <c r="GJ224" s="709"/>
      <c r="GK224" s="709"/>
      <c r="GL224" s="709"/>
      <c r="GM224" s="709"/>
      <c r="GN224" s="709"/>
      <c r="GO224" s="709"/>
      <c r="GP224" s="709"/>
      <c r="GQ224" s="709"/>
      <c r="GR224" s="709"/>
      <c r="GS224" s="709"/>
      <c r="GT224" s="709"/>
      <c r="GU224" s="709"/>
      <c r="GV224" s="709"/>
      <c r="GW224" s="709"/>
      <c r="GX224" s="709"/>
      <c r="GY224" s="709"/>
      <c r="GZ224" s="709"/>
      <c r="HA224" s="709"/>
      <c r="HB224" s="709"/>
      <c r="HC224" s="709"/>
      <c r="HD224" s="709"/>
      <c r="HE224" s="709"/>
      <c r="HF224" s="709"/>
      <c r="HG224" s="709"/>
      <c r="HH224" s="709"/>
      <c r="HI224" s="709"/>
      <c r="HJ224" s="709"/>
      <c r="HK224" s="709"/>
      <c r="HL224" s="709"/>
      <c r="HM224" s="709"/>
      <c r="HN224" s="709"/>
      <c r="HO224" s="709"/>
      <c r="HP224" s="709"/>
      <c r="HQ224" s="709"/>
      <c r="HR224" s="709"/>
      <c r="HS224" s="709"/>
      <c r="HT224" s="709"/>
      <c r="HU224" s="709"/>
      <c r="HV224" s="709"/>
      <c r="HW224" s="709"/>
      <c r="HX224" s="709"/>
      <c r="HY224" s="709"/>
      <c r="HZ224" s="709"/>
      <c r="IA224" s="709"/>
      <c r="IB224" s="709"/>
      <c r="IC224" s="709"/>
      <c r="ID224" s="709"/>
      <c r="IE224" s="709"/>
      <c r="IF224" s="709"/>
      <c r="IG224" s="709"/>
      <c r="IH224" s="709"/>
      <c r="II224" s="709"/>
      <c r="IJ224" s="709"/>
      <c r="IK224" s="709"/>
      <c r="IL224" s="709"/>
      <c r="IM224" s="709"/>
      <c r="IN224" s="709"/>
      <c r="IO224" s="709"/>
      <c r="IP224" s="709"/>
      <c r="IQ224" s="709"/>
      <c r="IR224" s="709"/>
      <c r="IS224" s="709"/>
      <c r="IT224" s="709"/>
      <c r="IU224" s="709"/>
      <c r="IV224" s="709"/>
      <c r="IW224" s="709"/>
      <c r="IX224" s="709"/>
      <c r="IY224" s="709"/>
      <c r="IZ224" s="709"/>
      <c r="JA224" s="709"/>
      <c r="JB224" s="709"/>
      <c r="JC224" s="709"/>
      <c r="JD224" s="709"/>
      <c r="JE224" s="709"/>
      <c r="JF224" s="709"/>
      <c r="JG224" s="709"/>
      <c r="JH224" s="709"/>
      <c r="JI224" s="709"/>
      <c r="JJ224" s="709"/>
      <c r="JK224" s="709"/>
      <c r="JL224" s="709"/>
      <c r="JM224" s="709"/>
      <c r="JN224" s="709"/>
      <c r="JO224" s="709"/>
      <c r="JP224" s="709"/>
      <c r="JQ224" s="709"/>
      <c r="JR224" s="709"/>
      <c r="JS224" s="709"/>
      <c r="JT224" s="709"/>
      <c r="JU224" s="709"/>
      <c r="JV224" s="709"/>
      <c r="JW224" s="709"/>
      <c r="JX224" s="709"/>
      <c r="JY224" s="709"/>
      <c r="JZ224" s="709"/>
      <c r="KA224" s="709"/>
      <c r="KB224" s="709"/>
      <c r="KC224" s="709"/>
      <c r="KD224" s="709"/>
      <c r="KE224" s="709"/>
      <c r="KF224" s="709"/>
      <c r="KG224" s="709"/>
      <c r="KH224" s="709"/>
      <c r="KI224" s="709"/>
      <c r="KJ224" s="709"/>
      <c r="KK224" s="709"/>
      <c r="KL224" s="709"/>
      <c r="KM224" s="709"/>
      <c r="KN224" s="709"/>
      <c r="KO224" s="709"/>
      <c r="KP224" s="709"/>
      <c r="KQ224" s="709"/>
      <c r="KR224" s="709"/>
      <c r="KS224" s="709"/>
      <c r="KT224" s="709"/>
      <c r="KU224" s="709"/>
      <c r="KV224" s="709"/>
      <c r="KW224" s="709"/>
      <c r="KX224" s="709"/>
      <c r="KY224" s="709"/>
      <c r="KZ224" s="709"/>
      <c r="LA224" s="709"/>
      <c r="LB224" s="709"/>
      <c r="LC224" s="709"/>
      <c r="LD224" s="709"/>
      <c r="LE224" s="709"/>
      <c r="LF224" s="709"/>
      <c r="LG224" s="709"/>
      <c r="LH224" s="709"/>
      <c r="LI224" s="709"/>
      <c r="LJ224" s="709"/>
      <c r="LK224" s="709"/>
      <c r="LL224" s="709"/>
      <c r="LM224" s="709"/>
      <c r="LN224" s="709"/>
      <c r="LO224" s="709"/>
      <c r="LP224" s="709"/>
      <c r="LQ224" s="709"/>
      <c r="LR224" s="709"/>
      <c r="LS224" s="709"/>
      <c r="LT224" s="709"/>
      <c r="LU224" s="709"/>
      <c r="LV224" s="709"/>
      <c r="LW224" s="709"/>
      <c r="LX224" s="709"/>
      <c r="LY224" s="709"/>
      <c r="LZ224" s="709"/>
      <c r="MA224" s="709"/>
      <c r="MB224" s="709"/>
      <c r="MC224" s="709"/>
      <c r="MD224" s="709"/>
      <c r="ME224" s="709"/>
      <c r="MF224" s="709"/>
      <c r="MG224" s="709"/>
      <c r="MH224" s="709"/>
      <c r="MI224" s="709"/>
      <c r="MJ224" s="709"/>
      <c r="MK224" s="709"/>
      <c r="ML224" s="709"/>
      <c r="MM224" s="709"/>
      <c r="MN224" s="709"/>
      <c r="MO224" s="709"/>
      <c r="MP224" s="709"/>
      <c r="MQ224" s="709"/>
      <c r="MR224" s="709"/>
      <c r="MS224" s="709"/>
      <c r="MT224" s="709"/>
      <c r="MU224" s="709"/>
      <c r="MV224" s="709"/>
      <c r="MW224" s="709"/>
      <c r="MX224" s="709"/>
      <c r="MY224" s="709"/>
      <c r="MZ224" s="709"/>
      <c r="NA224" s="709"/>
      <c r="NB224" s="709"/>
      <c r="NC224" s="709"/>
      <c r="ND224" s="709"/>
      <c r="NE224" s="709"/>
      <c r="NF224" s="709"/>
      <c r="NG224" s="709"/>
      <c r="NH224" s="709"/>
      <c r="NI224" s="709"/>
      <c r="NJ224" s="709"/>
      <c r="NK224" s="709"/>
      <c r="NL224" s="709"/>
      <c r="NM224" s="709"/>
      <c r="NN224" s="709"/>
      <c r="NO224" s="709"/>
      <c r="NP224" s="692"/>
      <c r="NQ224" s="692"/>
      <c r="NR224" s="692"/>
    </row>
    <row r="225" spans="1:382" s="13" customFormat="1" ht="15.75" thickBot="1" x14ac:dyDescent="0.3">
      <c r="A225" s="679"/>
      <c r="B225" s="681" t="s">
        <v>1692</v>
      </c>
      <c r="C225" s="114">
        <f>'Conversion factors'!B18</f>
        <v>6.36</v>
      </c>
      <c r="D225" s="680" t="s">
        <v>1061</v>
      </c>
      <c r="E225" s="26"/>
      <c r="F225" s="213" t="s">
        <v>1693</v>
      </c>
      <c r="G225" s="280"/>
      <c r="H225" s="709"/>
      <c r="I225" s="709"/>
      <c r="J225" s="709"/>
      <c r="K225" s="709"/>
      <c r="L225" s="709"/>
      <c r="M225" s="709"/>
      <c r="N225" s="709"/>
      <c r="O225" s="709"/>
      <c r="P225" s="709"/>
      <c r="Q225" s="709"/>
      <c r="R225" s="709"/>
      <c r="S225" s="709"/>
      <c r="T225" s="709"/>
      <c r="U225" s="709"/>
      <c r="V225" s="709"/>
      <c r="W225" s="709"/>
      <c r="X225" s="709"/>
      <c r="Y225" s="709"/>
      <c r="Z225" s="709"/>
      <c r="AA225" s="709"/>
      <c r="AB225" s="709"/>
      <c r="AC225" s="709"/>
      <c r="AD225" s="709"/>
      <c r="AE225" s="709"/>
      <c r="AF225" s="709"/>
      <c r="AG225" s="709"/>
      <c r="AH225" s="709"/>
      <c r="AI225" s="709"/>
      <c r="AJ225" s="709"/>
      <c r="AK225" s="709"/>
      <c r="AL225" s="709"/>
      <c r="AM225" s="709"/>
      <c r="AN225" s="709"/>
      <c r="AO225" s="709"/>
      <c r="AP225" s="709"/>
      <c r="AQ225" s="709"/>
      <c r="AR225" s="709"/>
      <c r="AS225" s="709"/>
      <c r="AT225" s="709"/>
      <c r="AU225" s="709"/>
      <c r="AV225" s="709"/>
      <c r="AW225" s="709"/>
      <c r="AX225" s="709"/>
      <c r="AY225" s="709"/>
      <c r="AZ225" s="709"/>
      <c r="BA225" s="709"/>
      <c r="BB225" s="709"/>
      <c r="BC225" s="709"/>
      <c r="BD225" s="709"/>
      <c r="BE225" s="709"/>
      <c r="BF225" s="709"/>
      <c r="BG225" s="709"/>
      <c r="BH225" s="709"/>
      <c r="BI225" s="709"/>
      <c r="BJ225" s="709"/>
      <c r="BK225" s="709"/>
      <c r="BL225" s="709"/>
      <c r="BM225" s="709"/>
      <c r="BN225" s="709"/>
      <c r="BO225" s="709"/>
      <c r="BP225" s="709"/>
      <c r="BQ225" s="709"/>
      <c r="BR225" s="709"/>
      <c r="BS225" s="709"/>
      <c r="BT225" s="709"/>
      <c r="BU225" s="709"/>
      <c r="BV225" s="709"/>
      <c r="BW225" s="709"/>
      <c r="BX225" s="709"/>
      <c r="BY225" s="709"/>
      <c r="BZ225" s="709"/>
      <c r="CA225" s="709"/>
      <c r="CB225" s="709"/>
      <c r="CC225" s="709"/>
      <c r="CD225" s="709"/>
      <c r="CE225" s="709"/>
      <c r="CF225" s="709"/>
      <c r="CG225" s="709"/>
      <c r="CH225" s="709"/>
      <c r="CI225" s="709"/>
      <c r="CJ225" s="709"/>
      <c r="CK225" s="709"/>
      <c r="CL225" s="709"/>
      <c r="CM225" s="709"/>
      <c r="CN225" s="709"/>
      <c r="CO225" s="709"/>
      <c r="CP225" s="709"/>
      <c r="CQ225" s="709"/>
      <c r="CR225" s="709"/>
      <c r="CS225" s="709"/>
      <c r="CT225" s="709"/>
      <c r="CU225" s="709"/>
      <c r="CV225" s="709"/>
      <c r="CW225" s="709"/>
      <c r="CX225" s="709"/>
      <c r="CY225" s="709"/>
      <c r="CZ225" s="709"/>
      <c r="DA225" s="709"/>
      <c r="DB225" s="709"/>
      <c r="DC225" s="709"/>
      <c r="DD225" s="709"/>
      <c r="DE225" s="709"/>
      <c r="DF225" s="709"/>
      <c r="DG225" s="709"/>
      <c r="DH225" s="709"/>
      <c r="DI225" s="709"/>
      <c r="DJ225" s="709"/>
      <c r="DK225" s="709"/>
      <c r="DL225" s="709"/>
      <c r="DM225" s="709"/>
      <c r="DN225" s="709"/>
      <c r="DO225" s="709"/>
      <c r="DP225" s="709"/>
      <c r="DQ225" s="709"/>
      <c r="DR225" s="709"/>
      <c r="DS225" s="709"/>
      <c r="DT225" s="709"/>
      <c r="DU225" s="709"/>
      <c r="DV225" s="709"/>
      <c r="DW225" s="709"/>
      <c r="DX225" s="709"/>
      <c r="DY225" s="709"/>
      <c r="DZ225" s="709"/>
      <c r="EA225" s="709"/>
      <c r="EB225" s="709"/>
      <c r="EC225" s="709"/>
      <c r="ED225" s="709"/>
      <c r="EE225" s="709"/>
      <c r="EF225" s="709"/>
      <c r="EG225" s="709"/>
      <c r="EH225" s="709"/>
      <c r="EI225" s="709"/>
      <c r="EJ225" s="709"/>
      <c r="EK225" s="709"/>
      <c r="EL225" s="709"/>
      <c r="EM225" s="709"/>
      <c r="EN225" s="709"/>
      <c r="EO225" s="709"/>
      <c r="EP225" s="709"/>
      <c r="EQ225" s="709"/>
      <c r="ER225" s="709"/>
      <c r="ES225" s="709"/>
      <c r="ET225" s="709"/>
      <c r="EU225" s="709"/>
      <c r="EV225" s="709"/>
      <c r="EW225" s="709"/>
      <c r="EX225" s="709"/>
      <c r="EY225" s="709"/>
      <c r="EZ225" s="709"/>
      <c r="FA225" s="709"/>
      <c r="FB225" s="709"/>
      <c r="FC225" s="709"/>
      <c r="FD225" s="709"/>
      <c r="FE225" s="709"/>
      <c r="FF225" s="709"/>
      <c r="FG225" s="709"/>
      <c r="FH225" s="709"/>
      <c r="FI225" s="709"/>
      <c r="FJ225" s="709"/>
      <c r="FK225" s="709"/>
      <c r="FL225" s="709"/>
      <c r="FM225" s="709"/>
      <c r="FN225" s="709"/>
      <c r="FO225" s="709"/>
      <c r="FP225" s="709"/>
      <c r="FQ225" s="709"/>
      <c r="FR225" s="709"/>
      <c r="FS225" s="709"/>
      <c r="FT225" s="709"/>
      <c r="FU225" s="709"/>
      <c r="FV225" s="709"/>
      <c r="FW225" s="709"/>
      <c r="FX225" s="709"/>
      <c r="FY225" s="709"/>
      <c r="FZ225" s="709"/>
      <c r="GA225" s="709"/>
      <c r="GB225" s="709"/>
      <c r="GC225" s="709"/>
      <c r="GD225" s="709"/>
      <c r="GE225" s="709"/>
      <c r="GF225" s="709"/>
      <c r="GG225" s="709"/>
      <c r="GH225" s="709"/>
      <c r="GI225" s="709"/>
      <c r="GJ225" s="709"/>
      <c r="GK225" s="709"/>
      <c r="GL225" s="709"/>
      <c r="GM225" s="709"/>
      <c r="GN225" s="709"/>
      <c r="GO225" s="709"/>
      <c r="GP225" s="709"/>
      <c r="GQ225" s="709"/>
      <c r="GR225" s="709"/>
      <c r="GS225" s="709"/>
      <c r="GT225" s="709"/>
      <c r="GU225" s="709"/>
      <c r="GV225" s="709"/>
      <c r="GW225" s="709"/>
      <c r="GX225" s="709"/>
      <c r="GY225" s="709"/>
      <c r="GZ225" s="709"/>
      <c r="HA225" s="709"/>
      <c r="HB225" s="709"/>
      <c r="HC225" s="709"/>
      <c r="HD225" s="709"/>
      <c r="HE225" s="709"/>
      <c r="HF225" s="709"/>
      <c r="HG225" s="709"/>
      <c r="HH225" s="709"/>
      <c r="HI225" s="709"/>
      <c r="HJ225" s="709"/>
      <c r="HK225" s="709"/>
      <c r="HL225" s="709"/>
      <c r="HM225" s="709"/>
      <c r="HN225" s="709"/>
      <c r="HO225" s="709"/>
      <c r="HP225" s="709"/>
      <c r="HQ225" s="709"/>
      <c r="HR225" s="709"/>
      <c r="HS225" s="709"/>
      <c r="HT225" s="709"/>
      <c r="HU225" s="709"/>
      <c r="HV225" s="709"/>
      <c r="HW225" s="709"/>
      <c r="HX225" s="709"/>
      <c r="HY225" s="709"/>
      <c r="HZ225" s="709"/>
      <c r="IA225" s="709"/>
      <c r="IB225" s="709"/>
      <c r="IC225" s="709"/>
      <c r="ID225" s="709"/>
      <c r="IE225" s="709"/>
      <c r="IF225" s="709"/>
      <c r="IG225" s="709"/>
      <c r="IH225" s="709"/>
      <c r="II225" s="709"/>
      <c r="IJ225" s="709"/>
      <c r="IK225" s="709"/>
      <c r="IL225" s="709"/>
      <c r="IM225" s="709"/>
      <c r="IN225" s="709"/>
      <c r="IO225" s="709"/>
      <c r="IP225" s="709"/>
      <c r="IQ225" s="709"/>
      <c r="IR225" s="709"/>
      <c r="IS225" s="709"/>
      <c r="IT225" s="709"/>
      <c r="IU225" s="709"/>
      <c r="IV225" s="709"/>
      <c r="IW225" s="709"/>
      <c r="IX225" s="709"/>
      <c r="IY225" s="709"/>
      <c r="IZ225" s="709"/>
      <c r="JA225" s="709"/>
      <c r="JB225" s="709"/>
      <c r="JC225" s="709"/>
      <c r="JD225" s="709"/>
      <c r="JE225" s="709"/>
      <c r="JF225" s="709"/>
      <c r="JG225" s="709"/>
      <c r="JH225" s="709"/>
      <c r="JI225" s="709"/>
      <c r="JJ225" s="709"/>
      <c r="JK225" s="709"/>
      <c r="JL225" s="709"/>
      <c r="JM225" s="709"/>
      <c r="JN225" s="709"/>
      <c r="JO225" s="709"/>
      <c r="JP225" s="709"/>
      <c r="JQ225" s="709"/>
      <c r="JR225" s="709"/>
      <c r="JS225" s="709"/>
      <c r="JT225" s="709"/>
      <c r="JU225" s="709"/>
      <c r="JV225" s="709"/>
      <c r="JW225" s="709"/>
      <c r="JX225" s="709"/>
      <c r="JY225" s="709"/>
      <c r="JZ225" s="709"/>
      <c r="KA225" s="709"/>
      <c r="KB225" s="709"/>
      <c r="KC225" s="709"/>
      <c r="KD225" s="709"/>
      <c r="KE225" s="709"/>
      <c r="KF225" s="709"/>
      <c r="KG225" s="709"/>
      <c r="KH225" s="709"/>
      <c r="KI225" s="709"/>
      <c r="KJ225" s="709"/>
      <c r="KK225" s="709"/>
      <c r="KL225" s="709"/>
      <c r="KM225" s="709"/>
      <c r="KN225" s="709"/>
      <c r="KO225" s="709"/>
      <c r="KP225" s="709"/>
      <c r="KQ225" s="709"/>
      <c r="KR225" s="709"/>
      <c r="KS225" s="709"/>
      <c r="KT225" s="709"/>
      <c r="KU225" s="709"/>
      <c r="KV225" s="709"/>
      <c r="KW225" s="709"/>
      <c r="KX225" s="709"/>
      <c r="KY225" s="709"/>
      <c r="KZ225" s="709"/>
      <c r="LA225" s="709"/>
      <c r="LB225" s="709"/>
      <c r="LC225" s="709"/>
      <c r="LD225" s="709"/>
      <c r="LE225" s="709"/>
      <c r="LF225" s="709"/>
      <c r="LG225" s="709"/>
      <c r="LH225" s="709"/>
      <c r="LI225" s="709"/>
      <c r="LJ225" s="709"/>
      <c r="LK225" s="709"/>
      <c r="LL225" s="709"/>
      <c r="LM225" s="709"/>
      <c r="LN225" s="709"/>
      <c r="LO225" s="709"/>
      <c r="LP225" s="709"/>
      <c r="LQ225" s="709"/>
      <c r="LR225" s="709"/>
      <c r="LS225" s="709"/>
      <c r="LT225" s="709"/>
      <c r="LU225" s="709"/>
      <c r="LV225" s="709"/>
      <c r="LW225" s="709"/>
      <c r="LX225" s="709"/>
      <c r="LY225" s="709"/>
      <c r="LZ225" s="709"/>
      <c r="MA225" s="709"/>
      <c r="MB225" s="709"/>
      <c r="MC225" s="709"/>
      <c r="MD225" s="709"/>
      <c r="ME225" s="709"/>
      <c r="MF225" s="709"/>
      <c r="MG225" s="709"/>
      <c r="MH225" s="709"/>
      <c r="MI225" s="709"/>
      <c r="MJ225" s="709"/>
      <c r="MK225" s="709"/>
      <c r="ML225" s="709"/>
      <c r="MM225" s="709"/>
      <c r="MN225" s="709"/>
      <c r="MO225" s="709"/>
      <c r="MP225" s="709"/>
      <c r="MQ225" s="709"/>
      <c r="MR225" s="709"/>
      <c r="MS225" s="709"/>
      <c r="MT225" s="709"/>
      <c r="MU225" s="709"/>
      <c r="MV225" s="709"/>
      <c r="MW225" s="709"/>
      <c r="MX225" s="709"/>
      <c r="MY225" s="709"/>
      <c r="MZ225" s="709"/>
      <c r="NA225" s="709"/>
      <c r="NB225" s="709"/>
      <c r="NC225" s="709"/>
      <c r="ND225" s="709"/>
      <c r="NE225" s="709"/>
      <c r="NF225" s="709"/>
      <c r="NG225" s="709"/>
      <c r="NH225" s="709"/>
      <c r="NI225" s="709"/>
      <c r="NJ225" s="709"/>
      <c r="NK225" s="709"/>
      <c r="NL225" s="709"/>
      <c r="NM225" s="709"/>
      <c r="NN225" s="709"/>
      <c r="NO225" s="709"/>
      <c r="NP225" s="709"/>
      <c r="NQ225" s="709"/>
      <c r="NR225" s="709"/>
    </row>
    <row r="226" spans="1:382" ht="15.75" thickBot="1" x14ac:dyDescent="0.3">
      <c r="A226" s="679"/>
      <c r="B226" s="47" t="s">
        <v>1321</v>
      </c>
      <c r="C226" s="696">
        <f>'Input Data'!E15</f>
        <v>0</v>
      </c>
      <c r="D226" s="680" t="s">
        <v>367</v>
      </c>
      <c r="E226" s="26"/>
      <c r="F226" s="213"/>
      <c r="G226" s="280"/>
      <c r="H226" s="709"/>
      <c r="I226" s="709"/>
      <c r="J226" s="709"/>
      <c r="K226" s="709"/>
      <c r="L226" s="709"/>
      <c r="M226" s="709"/>
      <c r="N226" s="709"/>
      <c r="O226" s="709"/>
      <c r="P226" s="709"/>
      <c r="Q226" s="709"/>
      <c r="R226" s="709"/>
      <c r="S226" s="709"/>
      <c r="T226" s="709"/>
      <c r="U226" s="709"/>
      <c r="V226" s="709"/>
      <c r="W226" s="709"/>
      <c r="X226" s="709"/>
      <c r="Y226" s="709"/>
      <c r="Z226" s="709"/>
      <c r="AA226" s="709"/>
      <c r="AB226" s="709"/>
      <c r="AC226" s="709"/>
      <c r="AD226" s="709"/>
      <c r="AE226" s="709"/>
      <c r="AF226" s="709"/>
      <c r="AG226" s="709"/>
      <c r="AH226" s="709"/>
      <c r="AI226" s="709"/>
      <c r="AJ226" s="709"/>
      <c r="AK226" s="709"/>
      <c r="AL226" s="709"/>
      <c r="AM226" s="709"/>
      <c r="AN226" s="709"/>
      <c r="AO226" s="709"/>
      <c r="AP226" s="709"/>
      <c r="AQ226" s="709"/>
      <c r="AR226" s="709"/>
      <c r="AS226" s="709"/>
      <c r="AT226" s="709"/>
      <c r="AU226" s="709"/>
      <c r="AV226" s="709"/>
      <c r="AW226" s="709"/>
      <c r="AX226" s="709"/>
      <c r="AY226" s="709"/>
      <c r="AZ226" s="709"/>
      <c r="BA226" s="709"/>
      <c r="BB226" s="709"/>
      <c r="BC226" s="709"/>
      <c r="BD226" s="709"/>
      <c r="BE226" s="709"/>
      <c r="BF226" s="709"/>
      <c r="BG226" s="709"/>
      <c r="BH226" s="709"/>
      <c r="BI226" s="709"/>
      <c r="BJ226" s="709"/>
      <c r="BK226" s="709"/>
      <c r="BL226" s="709"/>
      <c r="BM226" s="709"/>
      <c r="BN226" s="709"/>
      <c r="BO226" s="709"/>
      <c r="BP226" s="709"/>
      <c r="BQ226" s="709"/>
      <c r="BR226" s="709"/>
      <c r="BS226" s="709"/>
      <c r="BT226" s="709"/>
      <c r="BU226" s="709"/>
      <c r="BV226" s="709"/>
      <c r="BW226" s="709"/>
      <c r="BX226" s="709"/>
      <c r="BY226" s="709"/>
      <c r="BZ226" s="709"/>
      <c r="CA226" s="709"/>
      <c r="CB226" s="709"/>
      <c r="CC226" s="709"/>
      <c r="CD226" s="709"/>
      <c r="CE226" s="709"/>
      <c r="CF226" s="709"/>
      <c r="CG226" s="709"/>
      <c r="CH226" s="709"/>
      <c r="CI226" s="709"/>
      <c r="CJ226" s="709"/>
      <c r="CK226" s="709"/>
      <c r="CL226" s="709"/>
      <c r="CM226" s="709"/>
      <c r="CN226" s="709"/>
      <c r="CO226" s="709"/>
      <c r="CP226" s="709"/>
      <c r="CQ226" s="709"/>
      <c r="CR226" s="709"/>
      <c r="CS226" s="709"/>
      <c r="CT226" s="709"/>
      <c r="CU226" s="709"/>
      <c r="CV226" s="709"/>
      <c r="CW226" s="709"/>
      <c r="CX226" s="709"/>
      <c r="CY226" s="709"/>
      <c r="CZ226" s="709"/>
      <c r="DA226" s="709"/>
      <c r="DB226" s="709"/>
      <c r="DC226" s="709"/>
      <c r="DD226" s="709"/>
      <c r="DE226" s="709"/>
      <c r="DF226" s="709"/>
      <c r="DG226" s="709"/>
      <c r="DH226" s="709"/>
      <c r="DI226" s="709"/>
      <c r="DJ226" s="709"/>
      <c r="DK226" s="709"/>
      <c r="DL226" s="709"/>
      <c r="DM226" s="709"/>
      <c r="DN226" s="709"/>
      <c r="DO226" s="709"/>
      <c r="DP226" s="709"/>
      <c r="DQ226" s="709"/>
      <c r="DR226" s="709"/>
      <c r="DS226" s="709"/>
      <c r="DT226" s="709"/>
      <c r="DU226" s="709"/>
      <c r="DV226" s="709"/>
      <c r="DW226" s="709"/>
      <c r="DX226" s="709"/>
      <c r="DY226" s="709"/>
      <c r="DZ226" s="709"/>
      <c r="EA226" s="709"/>
      <c r="EB226" s="709"/>
      <c r="EC226" s="709"/>
      <c r="ED226" s="709"/>
      <c r="EE226" s="709"/>
      <c r="EF226" s="709"/>
      <c r="EG226" s="709"/>
      <c r="EH226" s="709"/>
      <c r="EI226" s="709"/>
      <c r="EJ226" s="709"/>
      <c r="EK226" s="709"/>
      <c r="EL226" s="709"/>
      <c r="EM226" s="709"/>
      <c r="EN226" s="709"/>
      <c r="EO226" s="709"/>
      <c r="EP226" s="709"/>
      <c r="EQ226" s="709"/>
      <c r="ER226" s="709"/>
      <c r="ES226" s="709"/>
      <c r="ET226" s="709"/>
      <c r="EU226" s="709"/>
      <c r="EV226" s="709"/>
      <c r="EW226" s="709"/>
      <c r="EX226" s="709"/>
      <c r="EY226" s="709"/>
      <c r="EZ226" s="709"/>
      <c r="FA226" s="709"/>
      <c r="FB226" s="709"/>
      <c r="FC226" s="709"/>
      <c r="FD226" s="709"/>
      <c r="FE226" s="709"/>
      <c r="FF226" s="709"/>
      <c r="FG226" s="709"/>
      <c r="FH226" s="709"/>
      <c r="FI226" s="709"/>
      <c r="FJ226" s="709"/>
      <c r="FK226" s="709"/>
      <c r="FL226" s="709"/>
      <c r="FM226" s="709"/>
      <c r="FN226" s="709"/>
      <c r="FO226" s="709"/>
      <c r="FP226" s="709"/>
      <c r="FQ226" s="709"/>
      <c r="FR226" s="709"/>
      <c r="FS226" s="709"/>
      <c r="FT226" s="709"/>
      <c r="FU226" s="709"/>
      <c r="FV226" s="709"/>
      <c r="FW226" s="709"/>
      <c r="FX226" s="709"/>
      <c r="FY226" s="709"/>
      <c r="FZ226" s="709"/>
      <c r="GA226" s="709"/>
      <c r="GB226" s="709"/>
      <c r="GC226" s="709"/>
      <c r="GD226" s="709"/>
      <c r="GE226" s="709"/>
      <c r="GF226" s="709"/>
      <c r="GG226" s="709"/>
      <c r="GH226" s="709"/>
      <c r="GI226" s="709"/>
      <c r="GJ226" s="709"/>
      <c r="GK226" s="709"/>
      <c r="GL226" s="709"/>
      <c r="GM226" s="709"/>
      <c r="GN226" s="709"/>
      <c r="GO226" s="709"/>
      <c r="GP226" s="709"/>
      <c r="GQ226" s="709"/>
      <c r="GR226" s="709"/>
      <c r="GS226" s="709"/>
      <c r="GT226" s="709"/>
      <c r="GU226" s="709"/>
      <c r="GV226" s="709"/>
      <c r="GW226" s="709"/>
      <c r="GX226" s="709"/>
      <c r="GY226" s="709"/>
      <c r="GZ226" s="709"/>
      <c r="HA226" s="709"/>
      <c r="HB226" s="709"/>
      <c r="HC226" s="709"/>
      <c r="HD226" s="709"/>
      <c r="HE226" s="709"/>
      <c r="HF226" s="709"/>
      <c r="HG226" s="709"/>
      <c r="HH226" s="709"/>
      <c r="HI226" s="709"/>
      <c r="HJ226" s="709"/>
      <c r="HK226" s="709"/>
      <c r="HL226" s="709"/>
      <c r="HM226" s="709"/>
      <c r="HN226" s="709"/>
      <c r="HO226" s="709"/>
      <c r="HP226" s="709"/>
      <c r="HQ226" s="709"/>
      <c r="HR226" s="709"/>
      <c r="HS226" s="709"/>
      <c r="HT226" s="709"/>
      <c r="HU226" s="709"/>
      <c r="HV226" s="709"/>
      <c r="HW226" s="709"/>
      <c r="HX226" s="709"/>
      <c r="HY226" s="709"/>
      <c r="HZ226" s="709"/>
      <c r="IA226" s="709"/>
      <c r="IB226" s="709"/>
      <c r="IC226" s="709"/>
      <c r="ID226" s="709"/>
      <c r="IE226" s="709"/>
      <c r="IF226" s="709"/>
      <c r="IG226" s="709"/>
      <c r="IH226" s="709"/>
      <c r="II226" s="709"/>
      <c r="IJ226" s="709"/>
      <c r="IK226" s="709"/>
      <c r="IL226" s="709"/>
      <c r="IM226" s="709"/>
      <c r="IN226" s="709"/>
      <c r="IO226" s="709"/>
      <c r="IP226" s="709"/>
      <c r="IQ226" s="709"/>
      <c r="IR226" s="709"/>
      <c r="IS226" s="709"/>
      <c r="IT226" s="709"/>
      <c r="IU226" s="709"/>
      <c r="IV226" s="709"/>
      <c r="IW226" s="709"/>
      <c r="IX226" s="709"/>
      <c r="IY226" s="709"/>
      <c r="IZ226" s="709"/>
      <c r="JA226" s="709"/>
      <c r="JB226" s="709"/>
      <c r="JC226" s="709"/>
      <c r="JD226" s="709"/>
      <c r="JE226" s="709"/>
      <c r="JF226" s="709"/>
      <c r="JG226" s="709"/>
      <c r="JH226" s="709"/>
      <c r="JI226" s="709"/>
      <c r="JJ226" s="709"/>
      <c r="JK226" s="709"/>
      <c r="JL226" s="709"/>
      <c r="JM226" s="709"/>
      <c r="JN226" s="709"/>
      <c r="JO226" s="709"/>
      <c r="JP226" s="709"/>
      <c r="JQ226" s="709"/>
      <c r="JR226" s="709"/>
      <c r="JS226" s="709"/>
      <c r="JT226" s="709"/>
      <c r="JU226" s="709"/>
      <c r="JV226" s="709"/>
      <c r="JW226" s="709"/>
      <c r="JX226" s="709"/>
      <c r="JY226" s="709"/>
      <c r="JZ226" s="709"/>
      <c r="KA226" s="709"/>
      <c r="KB226" s="709"/>
      <c r="KC226" s="709"/>
      <c r="KD226" s="709"/>
      <c r="KE226" s="709"/>
      <c r="KF226" s="709"/>
      <c r="KG226" s="709"/>
      <c r="KH226" s="709"/>
      <c r="KI226" s="709"/>
      <c r="KJ226" s="709"/>
      <c r="KK226" s="709"/>
      <c r="KL226" s="709"/>
      <c r="KM226" s="709"/>
      <c r="KN226" s="709"/>
      <c r="KO226" s="709"/>
      <c r="KP226" s="709"/>
      <c r="KQ226" s="709"/>
      <c r="KR226" s="709"/>
      <c r="KS226" s="709"/>
      <c r="KT226" s="709"/>
      <c r="KU226" s="709"/>
      <c r="KV226" s="709"/>
      <c r="KW226" s="709"/>
      <c r="KX226" s="709"/>
      <c r="KY226" s="709"/>
      <c r="KZ226" s="709"/>
      <c r="LA226" s="709"/>
      <c r="LB226" s="709"/>
      <c r="LC226" s="709"/>
      <c r="LD226" s="709"/>
      <c r="LE226" s="709"/>
      <c r="LF226" s="709"/>
      <c r="LG226" s="709"/>
      <c r="LH226" s="709"/>
      <c r="LI226" s="709"/>
      <c r="LJ226" s="709"/>
      <c r="LK226" s="709"/>
      <c r="LL226" s="709"/>
      <c r="LM226" s="709"/>
      <c r="LN226" s="709"/>
      <c r="LO226" s="709"/>
      <c r="LP226" s="709"/>
      <c r="LQ226" s="709"/>
      <c r="LR226" s="709"/>
      <c r="LS226" s="709"/>
      <c r="LT226" s="709"/>
      <c r="LU226" s="709"/>
      <c r="LV226" s="709"/>
      <c r="LW226" s="709"/>
      <c r="LX226" s="709"/>
      <c r="LY226" s="709"/>
      <c r="LZ226" s="709"/>
      <c r="MA226" s="709"/>
      <c r="MB226" s="709"/>
      <c r="MC226" s="709"/>
      <c r="MD226" s="709"/>
      <c r="ME226" s="709"/>
      <c r="MF226" s="709"/>
      <c r="MG226" s="709"/>
      <c r="MH226" s="709"/>
      <c r="MI226" s="709"/>
      <c r="MJ226" s="709"/>
      <c r="MK226" s="709"/>
      <c r="ML226" s="709"/>
      <c r="MM226" s="709"/>
      <c r="MN226" s="709"/>
      <c r="MO226" s="709"/>
      <c r="MP226" s="709"/>
      <c r="MQ226" s="709"/>
      <c r="MR226" s="709"/>
      <c r="MS226" s="709"/>
      <c r="MT226" s="709"/>
      <c r="MU226" s="709"/>
      <c r="MV226" s="709"/>
      <c r="MW226" s="709"/>
      <c r="MX226" s="709"/>
      <c r="MY226" s="709"/>
      <c r="MZ226" s="709"/>
      <c r="NA226" s="709"/>
      <c r="NB226" s="709"/>
      <c r="NC226" s="709"/>
      <c r="ND226" s="709"/>
      <c r="NE226" s="709"/>
      <c r="NF226" s="709"/>
      <c r="NG226" s="709"/>
      <c r="NH226" s="709"/>
      <c r="NI226" s="709"/>
      <c r="NJ226" s="709"/>
      <c r="NK226" s="709"/>
      <c r="NL226" s="709"/>
      <c r="NM226" s="709"/>
      <c r="NN226" s="709"/>
      <c r="NO226" s="709"/>
      <c r="NP226" s="709"/>
      <c r="NQ226" s="709"/>
      <c r="NR226" s="709"/>
    </row>
    <row r="227" spans="1:382" ht="15.75" thickBot="1" x14ac:dyDescent="0.3">
      <c r="A227" s="679"/>
      <c r="B227" s="189" t="s">
        <v>1694</v>
      </c>
      <c r="C227" s="697">
        <f>C225*C226</f>
        <v>0</v>
      </c>
      <c r="D227" s="680" t="s">
        <v>1575</v>
      </c>
      <c r="E227" s="26"/>
      <c r="F227" s="213"/>
      <c r="G227" s="280"/>
      <c r="H227" s="692"/>
      <c r="I227" s="692"/>
      <c r="J227" s="692"/>
      <c r="K227" s="692"/>
      <c r="L227" s="692"/>
      <c r="M227" s="692"/>
      <c r="N227" s="692"/>
      <c r="O227" s="692"/>
      <c r="P227" s="692"/>
      <c r="Q227" s="692"/>
      <c r="R227" s="692"/>
      <c r="S227" s="692"/>
      <c r="T227" s="692"/>
      <c r="U227" s="692"/>
      <c r="V227" s="692"/>
      <c r="W227" s="692"/>
      <c r="X227" s="692"/>
      <c r="Y227" s="692"/>
      <c r="Z227" s="692"/>
      <c r="AA227" s="692"/>
      <c r="AB227" s="692"/>
      <c r="AC227" s="692"/>
      <c r="AD227" s="692"/>
      <c r="AE227" s="692"/>
      <c r="AF227" s="692"/>
      <c r="AG227" s="692"/>
      <c r="AH227" s="692"/>
      <c r="AI227" s="692"/>
      <c r="AJ227" s="692"/>
      <c r="AK227" s="692"/>
      <c r="AL227" s="692"/>
      <c r="AM227" s="692"/>
      <c r="AN227" s="692"/>
      <c r="AO227" s="692"/>
      <c r="AP227" s="692"/>
      <c r="AQ227" s="692"/>
      <c r="AR227" s="692"/>
      <c r="AS227" s="692"/>
      <c r="AT227" s="692"/>
      <c r="AU227" s="692"/>
      <c r="AV227" s="692"/>
      <c r="AW227" s="692"/>
      <c r="AX227" s="692"/>
      <c r="AY227" s="692"/>
      <c r="AZ227" s="692"/>
      <c r="BA227" s="692"/>
      <c r="BB227" s="692"/>
      <c r="BC227" s="692"/>
      <c r="BD227" s="692"/>
      <c r="BE227" s="692"/>
      <c r="BF227" s="692"/>
      <c r="BG227" s="692"/>
      <c r="BH227" s="692"/>
      <c r="BI227" s="692"/>
      <c r="BJ227" s="692"/>
      <c r="BK227" s="692"/>
      <c r="BL227" s="692"/>
      <c r="BM227" s="692"/>
      <c r="BN227" s="692"/>
      <c r="BO227" s="692"/>
      <c r="BP227" s="692"/>
      <c r="BQ227" s="692"/>
      <c r="BR227" s="692"/>
      <c r="BS227" s="692"/>
      <c r="BT227" s="692"/>
      <c r="BU227" s="692"/>
      <c r="BV227" s="692"/>
      <c r="BW227" s="692"/>
      <c r="BX227" s="692"/>
      <c r="BY227" s="692"/>
      <c r="BZ227" s="692"/>
      <c r="CA227" s="692"/>
      <c r="CB227" s="692"/>
      <c r="CC227" s="692"/>
      <c r="CD227" s="692"/>
      <c r="CE227" s="692"/>
      <c r="CF227" s="692"/>
      <c r="CG227" s="692"/>
      <c r="CH227" s="692"/>
      <c r="CI227" s="692"/>
      <c r="CJ227" s="692"/>
      <c r="CK227" s="692"/>
      <c r="CL227" s="692"/>
      <c r="CM227" s="692"/>
      <c r="CN227" s="692"/>
      <c r="CO227" s="692"/>
      <c r="CP227" s="692"/>
      <c r="CQ227" s="692"/>
      <c r="CR227" s="692"/>
      <c r="CS227" s="692"/>
      <c r="CT227" s="692"/>
      <c r="CU227" s="692"/>
      <c r="CV227" s="692"/>
      <c r="CW227" s="692"/>
      <c r="CX227" s="692"/>
      <c r="CY227" s="692"/>
      <c r="CZ227" s="692"/>
      <c r="DA227" s="692"/>
      <c r="DB227" s="692"/>
      <c r="DC227" s="692"/>
      <c r="DD227" s="692"/>
      <c r="DE227" s="692"/>
      <c r="DF227" s="692"/>
      <c r="DG227" s="692"/>
      <c r="DH227" s="692"/>
      <c r="DI227" s="692"/>
      <c r="DJ227" s="692"/>
      <c r="DK227" s="692"/>
      <c r="DL227" s="692"/>
      <c r="DM227" s="692"/>
      <c r="DN227" s="692"/>
      <c r="DO227" s="692"/>
      <c r="DP227" s="692"/>
      <c r="DQ227" s="692"/>
      <c r="DR227" s="692"/>
      <c r="DS227" s="692"/>
      <c r="DT227" s="692"/>
      <c r="DU227" s="692"/>
      <c r="DV227" s="692"/>
      <c r="DW227" s="692"/>
      <c r="DX227" s="692"/>
      <c r="DY227" s="692"/>
      <c r="DZ227" s="692"/>
      <c r="EA227" s="692"/>
      <c r="EB227" s="692"/>
      <c r="EC227" s="692"/>
      <c r="ED227" s="692"/>
      <c r="EE227" s="692"/>
      <c r="EF227" s="692"/>
      <c r="EG227" s="692"/>
      <c r="EH227" s="692"/>
      <c r="EI227" s="692"/>
      <c r="EJ227" s="692"/>
      <c r="EK227" s="692"/>
      <c r="EL227" s="692"/>
      <c r="EM227" s="692"/>
      <c r="EN227" s="692"/>
      <c r="EO227" s="692"/>
      <c r="EP227" s="692"/>
      <c r="EQ227" s="692"/>
      <c r="ER227" s="692"/>
      <c r="ES227" s="692"/>
      <c r="ET227" s="692"/>
      <c r="EU227" s="692"/>
      <c r="EV227" s="692"/>
      <c r="EW227" s="692"/>
      <c r="EX227" s="692"/>
      <c r="EY227" s="692"/>
      <c r="EZ227" s="692"/>
      <c r="FA227" s="692"/>
      <c r="FB227" s="692"/>
      <c r="FC227" s="692"/>
      <c r="FD227" s="692"/>
      <c r="FE227" s="692"/>
      <c r="FF227" s="692"/>
      <c r="FG227" s="692"/>
      <c r="FH227" s="692"/>
      <c r="FI227" s="692"/>
      <c r="FJ227" s="692"/>
      <c r="FK227" s="692"/>
      <c r="FL227" s="692"/>
      <c r="FM227" s="692"/>
      <c r="FN227" s="692"/>
      <c r="FO227" s="692"/>
      <c r="FP227" s="692"/>
      <c r="FQ227" s="692"/>
      <c r="FR227" s="692"/>
      <c r="FS227" s="692"/>
      <c r="FT227" s="692"/>
      <c r="FU227" s="692"/>
      <c r="FV227" s="692"/>
      <c r="FW227" s="692"/>
      <c r="FX227" s="692"/>
      <c r="FY227" s="692"/>
      <c r="FZ227" s="692"/>
      <c r="GA227" s="692"/>
      <c r="GB227" s="692"/>
      <c r="GC227" s="692"/>
      <c r="GD227" s="692"/>
      <c r="GE227" s="692"/>
      <c r="GF227" s="692"/>
      <c r="GG227" s="692"/>
      <c r="GH227" s="692"/>
      <c r="GI227" s="692"/>
      <c r="GJ227" s="692"/>
      <c r="GK227" s="692"/>
      <c r="GL227" s="692"/>
      <c r="GM227" s="692"/>
      <c r="GN227" s="692"/>
      <c r="GO227" s="692"/>
      <c r="GP227" s="692"/>
      <c r="GQ227" s="692"/>
      <c r="GR227" s="692"/>
      <c r="GS227" s="692"/>
      <c r="GT227" s="692"/>
      <c r="GU227" s="692"/>
      <c r="GV227" s="692"/>
      <c r="GW227" s="692"/>
      <c r="GX227" s="692"/>
      <c r="GY227" s="692"/>
      <c r="GZ227" s="692"/>
      <c r="HA227" s="692"/>
      <c r="HB227" s="692"/>
      <c r="HC227" s="692"/>
      <c r="HD227" s="692"/>
      <c r="HE227" s="692"/>
      <c r="HF227" s="692"/>
      <c r="HG227" s="692"/>
      <c r="HH227" s="692"/>
      <c r="HI227" s="692"/>
      <c r="HJ227" s="692"/>
      <c r="HK227" s="692"/>
      <c r="HL227" s="692"/>
      <c r="HM227" s="692"/>
      <c r="HN227" s="692"/>
      <c r="HO227" s="692"/>
      <c r="HP227" s="692"/>
      <c r="HQ227" s="692"/>
      <c r="HR227" s="692"/>
      <c r="HS227" s="692"/>
      <c r="HT227" s="692"/>
      <c r="HU227" s="692"/>
      <c r="HV227" s="692"/>
      <c r="HW227" s="692"/>
      <c r="HX227" s="692"/>
      <c r="HY227" s="692"/>
      <c r="HZ227" s="692"/>
      <c r="IA227" s="692"/>
      <c r="IB227" s="692"/>
      <c r="IC227" s="692"/>
      <c r="ID227" s="692"/>
      <c r="IE227" s="692"/>
      <c r="IF227" s="692"/>
      <c r="IG227" s="692"/>
      <c r="IH227" s="692"/>
      <c r="II227" s="692"/>
      <c r="IJ227" s="692"/>
      <c r="IK227" s="692"/>
      <c r="IL227" s="692"/>
      <c r="IM227" s="692"/>
      <c r="IN227" s="692"/>
      <c r="IO227" s="692"/>
      <c r="IP227" s="692"/>
      <c r="IQ227" s="692"/>
      <c r="IR227" s="692"/>
      <c r="IS227" s="692"/>
      <c r="IT227" s="692"/>
      <c r="IU227" s="692"/>
      <c r="IV227" s="692"/>
      <c r="IW227" s="692"/>
      <c r="IX227" s="692"/>
      <c r="IY227" s="692"/>
      <c r="IZ227" s="692"/>
      <c r="JA227" s="692"/>
      <c r="JB227" s="692"/>
      <c r="JC227" s="692"/>
      <c r="JD227" s="692"/>
      <c r="JE227" s="692"/>
      <c r="JF227" s="692"/>
      <c r="JG227" s="692"/>
      <c r="JH227" s="692"/>
      <c r="JI227" s="692"/>
      <c r="JJ227" s="692"/>
      <c r="JK227" s="692"/>
      <c r="JL227" s="692"/>
      <c r="JM227" s="692"/>
      <c r="JN227" s="692"/>
      <c r="JO227" s="692"/>
      <c r="JP227" s="692"/>
      <c r="JQ227" s="692"/>
      <c r="JR227" s="692"/>
      <c r="JS227" s="692"/>
      <c r="JT227" s="692"/>
      <c r="JU227" s="692"/>
      <c r="JV227" s="692"/>
      <c r="JW227" s="692"/>
      <c r="JX227" s="692"/>
      <c r="JY227" s="692"/>
      <c r="JZ227" s="692"/>
      <c r="KA227" s="692"/>
      <c r="KB227" s="692"/>
      <c r="KC227" s="692"/>
      <c r="KD227" s="692"/>
      <c r="KE227" s="692"/>
      <c r="KF227" s="692"/>
      <c r="KG227" s="692"/>
      <c r="KH227" s="692"/>
      <c r="KI227" s="692"/>
      <c r="KJ227" s="692"/>
      <c r="KK227" s="692"/>
      <c r="KL227" s="692"/>
      <c r="KM227" s="692"/>
      <c r="KN227" s="692"/>
      <c r="KO227" s="692"/>
      <c r="KP227" s="692"/>
      <c r="KQ227" s="692"/>
      <c r="KR227" s="692"/>
      <c r="KS227" s="692"/>
      <c r="KT227" s="692"/>
      <c r="KU227" s="692"/>
      <c r="KV227" s="692"/>
      <c r="KW227" s="692"/>
      <c r="KX227" s="692"/>
      <c r="KY227" s="692"/>
      <c r="KZ227" s="692"/>
      <c r="LA227" s="692"/>
      <c r="LB227" s="692"/>
      <c r="LC227" s="692"/>
      <c r="LD227" s="692"/>
      <c r="LE227" s="692"/>
      <c r="LF227" s="692"/>
      <c r="LG227" s="692"/>
      <c r="LH227" s="692"/>
      <c r="LI227" s="692"/>
      <c r="LJ227" s="692"/>
      <c r="LK227" s="692"/>
      <c r="LL227" s="692"/>
      <c r="LM227" s="692"/>
      <c r="LN227" s="692"/>
      <c r="LO227" s="692"/>
      <c r="LP227" s="692"/>
      <c r="LQ227" s="692"/>
      <c r="LR227" s="692"/>
      <c r="LS227" s="692"/>
      <c r="LT227" s="692"/>
      <c r="LU227" s="692"/>
      <c r="LV227" s="692"/>
      <c r="LW227" s="692"/>
      <c r="LX227" s="692"/>
      <c r="LY227" s="692"/>
      <c r="LZ227" s="692"/>
      <c r="MA227" s="692"/>
      <c r="MB227" s="692"/>
      <c r="MC227" s="692"/>
      <c r="MD227" s="692"/>
      <c r="ME227" s="692"/>
      <c r="MF227" s="692"/>
      <c r="MG227" s="692"/>
      <c r="MH227" s="692"/>
      <c r="MI227" s="692"/>
      <c r="MJ227" s="692"/>
      <c r="MK227" s="692"/>
      <c r="ML227" s="692"/>
      <c r="MM227" s="692"/>
      <c r="MN227" s="692"/>
      <c r="MO227" s="692"/>
      <c r="MP227" s="692"/>
      <c r="MQ227" s="692"/>
      <c r="MR227" s="692"/>
      <c r="MS227" s="692"/>
      <c r="MT227" s="692"/>
      <c r="MU227" s="692"/>
      <c r="MV227" s="692"/>
      <c r="MW227" s="692"/>
      <c r="MX227" s="692"/>
      <c r="MY227" s="692"/>
      <c r="MZ227" s="692"/>
      <c r="NA227" s="692"/>
      <c r="NB227" s="692"/>
      <c r="NC227" s="692"/>
      <c r="ND227" s="692"/>
      <c r="NE227" s="692"/>
      <c r="NF227" s="692"/>
      <c r="NG227" s="692"/>
      <c r="NH227" s="692"/>
      <c r="NI227" s="692"/>
      <c r="NJ227" s="692"/>
      <c r="NK227" s="692"/>
      <c r="NL227" s="692"/>
      <c r="NM227" s="692"/>
      <c r="NN227" s="692"/>
      <c r="NO227" s="692"/>
      <c r="NP227" s="692"/>
      <c r="NQ227" s="692"/>
      <c r="NR227" s="692"/>
    </row>
    <row r="228" spans="1:382" ht="15.75" thickBot="1" x14ac:dyDescent="0.3">
      <c r="A228" s="679"/>
      <c r="B228" s="679"/>
      <c r="C228" s="408"/>
      <c r="D228" s="680"/>
      <c r="E228" s="26"/>
      <c r="F228" s="214"/>
      <c r="G228" s="280"/>
      <c r="H228" s="692"/>
      <c r="I228" s="692"/>
      <c r="J228" s="692"/>
      <c r="K228" s="692"/>
      <c r="L228" s="692"/>
      <c r="M228" s="692"/>
      <c r="N228" s="692"/>
      <c r="O228" s="692"/>
      <c r="P228" s="692"/>
      <c r="Q228" s="692"/>
      <c r="R228" s="692"/>
      <c r="S228" s="692"/>
      <c r="T228" s="692"/>
      <c r="U228" s="692"/>
      <c r="V228" s="692"/>
      <c r="W228" s="692"/>
      <c r="X228" s="692"/>
      <c r="Y228" s="692"/>
      <c r="Z228" s="692"/>
      <c r="AA228" s="692"/>
      <c r="AB228" s="692"/>
      <c r="AC228" s="692"/>
      <c r="AD228" s="692"/>
      <c r="AE228" s="692"/>
      <c r="AF228" s="692"/>
      <c r="AG228" s="692"/>
      <c r="AH228" s="692"/>
      <c r="AI228" s="692"/>
      <c r="AJ228" s="692"/>
      <c r="AK228" s="692"/>
      <c r="AL228" s="692"/>
      <c r="AM228" s="692"/>
      <c r="AN228" s="692"/>
      <c r="AO228" s="692"/>
      <c r="AP228" s="692"/>
      <c r="AQ228" s="692"/>
      <c r="AR228" s="692"/>
      <c r="AS228" s="692"/>
      <c r="AT228" s="692"/>
      <c r="AU228" s="692"/>
      <c r="AV228" s="692"/>
      <c r="AW228" s="692"/>
      <c r="AX228" s="692"/>
      <c r="AY228" s="692"/>
      <c r="AZ228" s="692"/>
      <c r="BA228" s="692"/>
      <c r="BB228" s="692"/>
      <c r="BC228" s="692"/>
      <c r="BD228" s="692"/>
      <c r="BE228" s="692"/>
      <c r="BF228" s="692"/>
      <c r="BG228" s="692"/>
      <c r="BH228" s="692"/>
      <c r="BI228" s="692"/>
      <c r="BJ228" s="692"/>
      <c r="BK228" s="692"/>
      <c r="BL228" s="692"/>
      <c r="BM228" s="692"/>
      <c r="BN228" s="692"/>
      <c r="BO228" s="692"/>
      <c r="BP228" s="692"/>
      <c r="BQ228" s="692"/>
      <c r="BR228" s="692"/>
      <c r="BS228" s="692"/>
      <c r="BT228" s="692"/>
      <c r="BU228" s="692"/>
      <c r="BV228" s="692"/>
      <c r="BW228" s="692"/>
      <c r="BX228" s="692"/>
      <c r="BY228" s="692"/>
      <c r="BZ228" s="692"/>
      <c r="CA228" s="692"/>
      <c r="CB228" s="692"/>
      <c r="CC228" s="692"/>
      <c r="CD228" s="692"/>
      <c r="CE228" s="692"/>
      <c r="CF228" s="692"/>
      <c r="CG228" s="692"/>
      <c r="CH228" s="692"/>
      <c r="CI228" s="692"/>
      <c r="CJ228" s="692"/>
      <c r="CK228" s="692"/>
      <c r="CL228" s="692"/>
      <c r="CM228" s="692"/>
      <c r="CN228" s="692"/>
      <c r="CO228" s="692"/>
      <c r="CP228" s="692"/>
      <c r="CQ228" s="692"/>
      <c r="CR228" s="692"/>
      <c r="CS228" s="692"/>
      <c r="CT228" s="692"/>
      <c r="CU228" s="692"/>
      <c r="CV228" s="692"/>
      <c r="CW228" s="692"/>
      <c r="CX228" s="692"/>
      <c r="CY228" s="692"/>
      <c r="CZ228" s="692"/>
      <c r="DA228" s="692"/>
      <c r="DB228" s="692"/>
      <c r="DC228" s="692"/>
      <c r="DD228" s="692"/>
      <c r="DE228" s="692"/>
      <c r="DF228" s="692"/>
      <c r="DG228" s="692"/>
      <c r="DH228" s="692"/>
      <c r="DI228" s="692"/>
      <c r="DJ228" s="692"/>
      <c r="DK228" s="692"/>
      <c r="DL228" s="692"/>
      <c r="DM228" s="692"/>
      <c r="DN228" s="692"/>
      <c r="DO228" s="692"/>
      <c r="DP228" s="692"/>
      <c r="DQ228" s="692"/>
      <c r="DR228" s="692"/>
      <c r="DS228" s="692"/>
      <c r="DT228" s="692"/>
      <c r="DU228" s="692"/>
      <c r="DV228" s="692"/>
      <c r="DW228" s="692"/>
      <c r="DX228" s="692"/>
      <c r="DY228" s="692"/>
      <c r="DZ228" s="692"/>
      <c r="EA228" s="692"/>
      <c r="EB228" s="692"/>
      <c r="EC228" s="692"/>
      <c r="ED228" s="692"/>
      <c r="EE228" s="692"/>
      <c r="EF228" s="692"/>
      <c r="EG228" s="692"/>
      <c r="EH228" s="692"/>
      <c r="EI228" s="692"/>
      <c r="EJ228" s="692"/>
      <c r="EK228" s="692"/>
      <c r="EL228" s="692"/>
      <c r="EM228" s="692"/>
      <c r="EN228" s="692"/>
      <c r="EO228" s="692"/>
      <c r="EP228" s="692"/>
      <c r="EQ228" s="692"/>
      <c r="ER228" s="692"/>
      <c r="ES228" s="692"/>
      <c r="ET228" s="692"/>
      <c r="EU228" s="692"/>
      <c r="EV228" s="692"/>
      <c r="EW228" s="692"/>
      <c r="EX228" s="692"/>
      <c r="EY228" s="692"/>
      <c r="EZ228" s="692"/>
      <c r="FA228" s="692"/>
      <c r="FB228" s="692"/>
      <c r="FC228" s="692"/>
      <c r="FD228" s="692"/>
      <c r="FE228" s="692"/>
      <c r="FF228" s="692"/>
      <c r="FG228" s="692"/>
      <c r="FH228" s="692"/>
      <c r="FI228" s="692"/>
      <c r="FJ228" s="692"/>
      <c r="FK228" s="692"/>
      <c r="FL228" s="692"/>
      <c r="FM228" s="692"/>
      <c r="FN228" s="692"/>
      <c r="FO228" s="692"/>
      <c r="FP228" s="692"/>
      <c r="FQ228" s="692"/>
      <c r="FR228" s="692"/>
      <c r="FS228" s="692"/>
      <c r="FT228" s="692"/>
      <c r="FU228" s="692"/>
      <c r="FV228" s="692"/>
      <c r="FW228" s="692"/>
      <c r="FX228" s="692"/>
      <c r="FY228" s="692"/>
      <c r="FZ228" s="692"/>
      <c r="GA228" s="692"/>
      <c r="GB228" s="692"/>
      <c r="GC228" s="692"/>
      <c r="GD228" s="692"/>
      <c r="GE228" s="692"/>
      <c r="GF228" s="692"/>
      <c r="GG228" s="692"/>
      <c r="GH228" s="692"/>
      <c r="GI228" s="692"/>
      <c r="GJ228" s="692"/>
      <c r="GK228" s="692"/>
      <c r="GL228" s="692"/>
      <c r="GM228" s="692"/>
      <c r="GN228" s="692"/>
      <c r="GO228" s="692"/>
      <c r="GP228" s="692"/>
      <c r="GQ228" s="692"/>
      <c r="GR228" s="692"/>
      <c r="GS228" s="692"/>
      <c r="GT228" s="692"/>
      <c r="GU228" s="692"/>
      <c r="GV228" s="692"/>
      <c r="GW228" s="692"/>
      <c r="GX228" s="692"/>
      <c r="GY228" s="692"/>
      <c r="GZ228" s="692"/>
      <c r="HA228" s="692"/>
      <c r="HB228" s="692"/>
      <c r="HC228" s="692"/>
      <c r="HD228" s="692"/>
      <c r="HE228" s="692"/>
      <c r="HF228" s="692"/>
      <c r="HG228" s="692"/>
      <c r="HH228" s="692"/>
      <c r="HI228" s="692"/>
      <c r="HJ228" s="692"/>
      <c r="HK228" s="692"/>
      <c r="HL228" s="692"/>
      <c r="HM228" s="692"/>
      <c r="HN228" s="692"/>
      <c r="HO228" s="692"/>
      <c r="HP228" s="692"/>
      <c r="HQ228" s="692"/>
      <c r="HR228" s="692"/>
      <c r="HS228" s="692"/>
      <c r="HT228" s="692"/>
      <c r="HU228" s="692"/>
      <c r="HV228" s="692"/>
      <c r="HW228" s="692"/>
      <c r="HX228" s="692"/>
      <c r="HY228" s="692"/>
      <c r="HZ228" s="692"/>
      <c r="IA228" s="692"/>
      <c r="IB228" s="692"/>
      <c r="IC228" s="692"/>
      <c r="ID228" s="692"/>
      <c r="IE228" s="692"/>
      <c r="IF228" s="692"/>
      <c r="IG228" s="692"/>
      <c r="IH228" s="692"/>
      <c r="II228" s="692"/>
      <c r="IJ228" s="692"/>
      <c r="IK228" s="692"/>
      <c r="IL228" s="692"/>
      <c r="IM228" s="692"/>
      <c r="IN228" s="692"/>
      <c r="IO228" s="692"/>
      <c r="IP228" s="692"/>
      <c r="IQ228" s="692"/>
      <c r="IR228" s="692"/>
      <c r="IS228" s="692"/>
      <c r="IT228" s="692"/>
      <c r="IU228" s="692"/>
      <c r="IV228" s="692"/>
      <c r="IW228" s="692"/>
      <c r="IX228" s="692"/>
      <c r="IY228" s="692"/>
      <c r="IZ228" s="692"/>
      <c r="JA228" s="692"/>
      <c r="JB228" s="692"/>
      <c r="JC228" s="692"/>
      <c r="JD228" s="692"/>
      <c r="JE228" s="692"/>
      <c r="JF228" s="692"/>
      <c r="JG228" s="692"/>
      <c r="JH228" s="692"/>
      <c r="JI228" s="692"/>
      <c r="JJ228" s="692"/>
      <c r="JK228" s="692"/>
      <c r="JL228" s="692"/>
      <c r="JM228" s="692"/>
      <c r="JN228" s="692"/>
      <c r="JO228" s="692"/>
      <c r="JP228" s="692"/>
      <c r="JQ228" s="692"/>
      <c r="JR228" s="692"/>
      <c r="JS228" s="692"/>
      <c r="JT228" s="692"/>
      <c r="JU228" s="692"/>
      <c r="JV228" s="692"/>
      <c r="JW228" s="692"/>
      <c r="JX228" s="692"/>
      <c r="JY228" s="692"/>
      <c r="JZ228" s="692"/>
      <c r="KA228" s="692"/>
      <c r="KB228" s="692"/>
      <c r="KC228" s="692"/>
      <c r="KD228" s="692"/>
      <c r="KE228" s="692"/>
      <c r="KF228" s="692"/>
      <c r="KG228" s="692"/>
      <c r="KH228" s="692"/>
      <c r="KI228" s="692"/>
      <c r="KJ228" s="692"/>
      <c r="KK228" s="692"/>
      <c r="KL228" s="692"/>
      <c r="KM228" s="692"/>
      <c r="KN228" s="692"/>
      <c r="KO228" s="692"/>
      <c r="KP228" s="692"/>
      <c r="KQ228" s="692"/>
      <c r="KR228" s="692"/>
      <c r="KS228" s="692"/>
      <c r="KT228" s="692"/>
      <c r="KU228" s="692"/>
      <c r="KV228" s="692"/>
      <c r="KW228" s="692"/>
      <c r="KX228" s="692"/>
      <c r="KY228" s="692"/>
      <c r="KZ228" s="692"/>
      <c r="LA228" s="692"/>
      <c r="LB228" s="692"/>
      <c r="LC228" s="692"/>
      <c r="LD228" s="692"/>
      <c r="LE228" s="692"/>
      <c r="LF228" s="692"/>
      <c r="LG228" s="692"/>
      <c r="LH228" s="692"/>
      <c r="LI228" s="692"/>
      <c r="LJ228" s="692"/>
      <c r="LK228" s="692"/>
      <c r="LL228" s="692"/>
      <c r="LM228" s="692"/>
      <c r="LN228" s="692"/>
      <c r="LO228" s="692"/>
      <c r="LP228" s="692"/>
      <c r="LQ228" s="692"/>
      <c r="LR228" s="692"/>
      <c r="LS228" s="692"/>
      <c r="LT228" s="692"/>
      <c r="LU228" s="692"/>
      <c r="LV228" s="692"/>
      <c r="LW228" s="692"/>
      <c r="LX228" s="692"/>
      <c r="LY228" s="692"/>
      <c r="LZ228" s="692"/>
      <c r="MA228" s="692"/>
      <c r="MB228" s="692"/>
      <c r="MC228" s="692"/>
      <c r="MD228" s="692"/>
      <c r="ME228" s="692"/>
      <c r="MF228" s="692"/>
      <c r="MG228" s="692"/>
      <c r="MH228" s="692"/>
      <c r="MI228" s="692"/>
      <c r="MJ228" s="692"/>
      <c r="MK228" s="692"/>
      <c r="ML228" s="692"/>
      <c r="MM228" s="692"/>
      <c r="MN228" s="692"/>
      <c r="MO228" s="692"/>
      <c r="MP228" s="692"/>
      <c r="MQ228" s="692"/>
      <c r="MR228" s="692"/>
      <c r="MS228" s="692"/>
      <c r="MT228" s="692"/>
      <c r="MU228" s="692"/>
      <c r="MV228" s="692"/>
      <c r="MW228" s="692"/>
      <c r="MX228" s="692"/>
      <c r="MY228" s="692"/>
      <c r="MZ228" s="692"/>
      <c r="NA228" s="692"/>
      <c r="NB228" s="692"/>
      <c r="NC228" s="692"/>
      <c r="ND228" s="692"/>
      <c r="NE228" s="692"/>
      <c r="NF228" s="692"/>
      <c r="NG228" s="692"/>
      <c r="NH228" s="692"/>
      <c r="NI228" s="692"/>
      <c r="NJ228" s="692"/>
      <c r="NK228" s="692"/>
      <c r="NL228" s="692"/>
      <c r="NM228" s="692"/>
      <c r="NN228" s="692"/>
      <c r="NO228" s="692"/>
      <c r="NP228" s="692"/>
      <c r="NQ228" s="692"/>
      <c r="NR228" s="692"/>
    </row>
    <row r="229" spans="1:382" ht="15.75" thickBot="1" x14ac:dyDescent="0.3">
      <c r="A229" s="47"/>
      <c r="B229" s="47" t="s">
        <v>1321</v>
      </c>
      <c r="C229" s="747">
        <f>'Input Data'!E15</f>
        <v>0</v>
      </c>
      <c r="D229" s="680" t="s">
        <v>367</v>
      </c>
      <c r="E229" s="47"/>
      <c r="F229" s="214"/>
      <c r="G229" s="280"/>
      <c r="H229" s="692"/>
      <c r="I229" s="692"/>
      <c r="J229" s="692"/>
      <c r="K229" s="692"/>
      <c r="L229" s="692"/>
      <c r="M229" s="692"/>
      <c r="N229" s="692"/>
      <c r="O229" s="692"/>
      <c r="P229" s="692"/>
      <c r="Q229" s="692"/>
      <c r="R229" s="692"/>
      <c r="S229" s="692"/>
      <c r="T229" s="692"/>
      <c r="U229" s="692"/>
      <c r="V229" s="692"/>
      <c r="W229" s="692"/>
      <c r="X229" s="692"/>
      <c r="Y229" s="692"/>
      <c r="Z229" s="692"/>
      <c r="AA229" s="692"/>
      <c r="AB229" s="692"/>
      <c r="AC229" s="692"/>
      <c r="AD229" s="692"/>
      <c r="AE229" s="692"/>
      <c r="AF229" s="692"/>
      <c r="AG229" s="692"/>
      <c r="AH229" s="692"/>
      <c r="AI229" s="692"/>
      <c r="AJ229" s="692"/>
      <c r="AK229" s="692"/>
      <c r="AL229" s="692"/>
      <c r="AM229" s="692"/>
      <c r="AN229" s="692"/>
      <c r="AO229" s="692"/>
      <c r="AP229" s="692"/>
      <c r="AQ229" s="692"/>
      <c r="AR229" s="692"/>
      <c r="AS229" s="692"/>
      <c r="AT229" s="692"/>
      <c r="AU229" s="692"/>
      <c r="AV229" s="692"/>
      <c r="AW229" s="692"/>
      <c r="AX229" s="692"/>
      <c r="AY229" s="692"/>
      <c r="AZ229" s="692"/>
      <c r="BA229" s="692"/>
      <c r="BB229" s="692"/>
      <c r="BC229" s="692"/>
      <c r="BD229" s="692"/>
      <c r="BE229" s="692"/>
      <c r="BF229" s="692"/>
      <c r="BG229" s="692"/>
      <c r="BH229" s="692"/>
      <c r="BI229" s="692"/>
      <c r="BJ229" s="692"/>
      <c r="BK229" s="692"/>
      <c r="BL229" s="692"/>
      <c r="BM229" s="692"/>
      <c r="BN229" s="692"/>
      <c r="BO229" s="692"/>
      <c r="BP229" s="692"/>
      <c r="BQ229" s="692"/>
      <c r="BR229" s="692"/>
      <c r="BS229" s="692"/>
      <c r="BT229" s="692"/>
      <c r="BU229" s="692"/>
      <c r="BV229" s="692"/>
      <c r="BW229" s="692"/>
      <c r="BX229" s="692"/>
      <c r="BY229" s="692"/>
      <c r="BZ229" s="692"/>
      <c r="CA229" s="692"/>
      <c r="CB229" s="692"/>
      <c r="CC229" s="692"/>
      <c r="CD229" s="692"/>
      <c r="CE229" s="692"/>
      <c r="CF229" s="692"/>
      <c r="CG229" s="692"/>
      <c r="CH229" s="692"/>
      <c r="CI229" s="692"/>
      <c r="CJ229" s="692"/>
      <c r="CK229" s="692"/>
      <c r="CL229" s="692"/>
      <c r="CM229" s="692"/>
      <c r="CN229" s="692"/>
      <c r="CO229" s="692"/>
      <c r="CP229" s="692"/>
      <c r="CQ229" s="692"/>
      <c r="CR229" s="692"/>
      <c r="CS229" s="692"/>
      <c r="CT229" s="692"/>
      <c r="CU229" s="692"/>
      <c r="CV229" s="692"/>
      <c r="CW229" s="692"/>
      <c r="CX229" s="692"/>
      <c r="CY229" s="692"/>
      <c r="CZ229" s="692"/>
      <c r="DA229" s="692"/>
      <c r="DB229" s="692"/>
      <c r="DC229" s="692"/>
      <c r="DD229" s="692"/>
      <c r="DE229" s="692"/>
      <c r="DF229" s="692"/>
      <c r="DG229" s="692"/>
      <c r="DH229" s="692"/>
      <c r="DI229" s="692"/>
      <c r="DJ229" s="692"/>
      <c r="DK229" s="692"/>
      <c r="DL229" s="692"/>
      <c r="DM229" s="692"/>
      <c r="DN229" s="692"/>
      <c r="DO229" s="692"/>
      <c r="DP229" s="692"/>
      <c r="DQ229" s="692"/>
      <c r="DR229" s="692"/>
      <c r="DS229" s="692"/>
      <c r="DT229" s="692"/>
      <c r="DU229" s="692"/>
      <c r="DV229" s="692"/>
      <c r="DW229" s="692"/>
      <c r="DX229" s="692"/>
      <c r="DY229" s="692"/>
      <c r="DZ229" s="692"/>
      <c r="EA229" s="692"/>
      <c r="EB229" s="692"/>
      <c r="EC229" s="692"/>
      <c r="ED229" s="692"/>
      <c r="EE229" s="692"/>
      <c r="EF229" s="692"/>
      <c r="EG229" s="692"/>
      <c r="EH229" s="692"/>
      <c r="EI229" s="692"/>
      <c r="EJ229" s="692"/>
      <c r="EK229" s="692"/>
      <c r="EL229" s="692"/>
      <c r="EM229" s="692"/>
      <c r="EN229" s="692"/>
      <c r="EO229" s="692"/>
      <c r="EP229" s="692"/>
      <c r="EQ229" s="692"/>
      <c r="ER229" s="692"/>
      <c r="ES229" s="692"/>
      <c r="ET229" s="692"/>
      <c r="EU229" s="692"/>
      <c r="EV229" s="692"/>
      <c r="EW229" s="692"/>
      <c r="EX229" s="692"/>
      <c r="EY229" s="692"/>
      <c r="EZ229" s="692"/>
      <c r="FA229" s="692"/>
      <c r="FB229" s="692"/>
      <c r="FC229" s="692"/>
      <c r="FD229" s="692"/>
      <c r="FE229" s="692"/>
      <c r="FF229" s="692"/>
      <c r="FG229" s="692"/>
      <c r="FH229" s="692"/>
      <c r="FI229" s="692"/>
      <c r="FJ229" s="692"/>
      <c r="FK229" s="692"/>
      <c r="FL229" s="692"/>
      <c r="FM229" s="692"/>
      <c r="FN229" s="692"/>
      <c r="FO229" s="692"/>
      <c r="FP229" s="692"/>
      <c r="FQ229" s="692"/>
      <c r="FR229" s="692"/>
      <c r="FS229" s="692"/>
      <c r="FT229" s="692"/>
      <c r="FU229" s="692"/>
      <c r="FV229" s="692"/>
      <c r="FW229" s="692"/>
      <c r="FX229" s="692"/>
      <c r="FY229" s="692"/>
      <c r="FZ229" s="692"/>
      <c r="GA229" s="692"/>
      <c r="GB229" s="692"/>
      <c r="GC229" s="692"/>
      <c r="GD229" s="692"/>
      <c r="GE229" s="692"/>
      <c r="GF229" s="692"/>
      <c r="GG229" s="692"/>
      <c r="GH229" s="692"/>
      <c r="GI229" s="692"/>
      <c r="GJ229" s="692"/>
      <c r="GK229" s="692"/>
      <c r="GL229" s="692"/>
      <c r="GM229" s="692"/>
      <c r="GN229" s="692"/>
      <c r="GO229" s="692"/>
      <c r="GP229" s="692"/>
      <c r="GQ229" s="692"/>
      <c r="GR229" s="692"/>
      <c r="GS229" s="692"/>
      <c r="GT229" s="692"/>
      <c r="GU229" s="692"/>
      <c r="GV229" s="692"/>
      <c r="GW229" s="692"/>
      <c r="GX229" s="692"/>
      <c r="GY229" s="692"/>
      <c r="GZ229" s="692"/>
      <c r="HA229" s="692"/>
      <c r="HB229" s="692"/>
      <c r="HC229" s="692"/>
      <c r="HD229" s="692"/>
      <c r="HE229" s="692"/>
      <c r="HF229" s="692"/>
      <c r="HG229" s="692"/>
      <c r="HH229" s="692"/>
      <c r="HI229" s="692"/>
      <c r="HJ229" s="692"/>
      <c r="HK229" s="692"/>
      <c r="HL229" s="692"/>
      <c r="HM229" s="692"/>
      <c r="HN229" s="692"/>
      <c r="HO229" s="692"/>
      <c r="HP229" s="692"/>
      <c r="HQ229" s="692"/>
      <c r="HR229" s="692"/>
      <c r="HS229" s="692"/>
      <c r="HT229" s="692"/>
      <c r="HU229" s="692"/>
      <c r="HV229" s="692"/>
      <c r="HW229" s="692"/>
      <c r="HX229" s="692"/>
      <c r="HY229" s="692"/>
      <c r="HZ229" s="692"/>
      <c r="IA229" s="692"/>
      <c r="IB229" s="692"/>
      <c r="IC229" s="692"/>
      <c r="ID229" s="692"/>
      <c r="IE229" s="692"/>
      <c r="IF229" s="692"/>
      <c r="IG229" s="692"/>
      <c r="IH229" s="692"/>
      <c r="II229" s="692"/>
      <c r="IJ229" s="692"/>
      <c r="IK229" s="692"/>
      <c r="IL229" s="692"/>
      <c r="IM229" s="692"/>
      <c r="IN229" s="692"/>
      <c r="IO229" s="692"/>
      <c r="IP229" s="692"/>
      <c r="IQ229" s="692"/>
      <c r="IR229" s="692"/>
      <c r="IS229" s="692"/>
      <c r="IT229" s="692"/>
      <c r="IU229" s="692"/>
      <c r="IV229" s="692"/>
      <c r="IW229" s="692"/>
      <c r="IX229" s="692"/>
      <c r="IY229" s="692"/>
      <c r="IZ229" s="692"/>
      <c r="JA229" s="692"/>
      <c r="JB229" s="692"/>
      <c r="JC229" s="692"/>
      <c r="JD229" s="692"/>
      <c r="JE229" s="692"/>
      <c r="JF229" s="692"/>
      <c r="JG229" s="692"/>
      <c r="JH229" s="692"/>
      <c r="JI229" s="692"/>
      <c r="JJ229" s="692"/>
      <c r="JK229" s="692"/>
      <c r="JL229" s="692"/>
      <c r="JM229" s="692"/>
      <c r="JN229" s="692"/>
      <c r="JO229" s="692"/>
      <c r="JP229" s="692"/>
      <c r="JQ229" s="692"/>
      <c r="JR229" s="692"/>
      <c r="JS229" s="692"/>
      <c r="JT229" s="692"/>
      <c r="JU229" s="692"/>
      <c r="JV229" s="692"/>
      <c r="JW229" s="692"/>
      <c r="JX229" s="692"/>
      <c r="JY229" s="692"/>
      <c r="JZ229" s="692"/>
      <c r="KA229" s="692"/>
      <c r="KB229" s="692"/>
      <c r="KC229" s="692"/>
      <c r="KD229" s="692"/>
      <c r="KE229" s="692"/>
      <c r="KF229" s="692"/>
      <c r="KG229" s="692"/>
      <c r="KH229" s="692"/>
      <c r="KI229" s="692"/>
      <c r="KJ229" s="692"/>
      <c r="KK229" s="692"/>
      <c r="KL229" s="692"/>
      <c r="KM229" s="692"/>
      <c r="KN229" s="692"/>
      <c r="KO229" s="692"/>
      <c r="KP229" s="692"/>
      <c r="KQ229" s="692"/>
      <c r="KR229" s="692"/>
      <c r="KS229" s="692"/>
      <c r="KT229" s="692"/>
      <c r="KU229" s="692"/>
      <c r="KV229" s="692"/>
      <c r="KW229" s="692"/>
      <c r="KX229" s="692"/>
      <c r="KY229" s="692"/>
      <c r="KZ229" s="692"/>
      <c r="LA229" s="692"/>
      <c r="LB229" s="692"/>
      <c r="LC229" s="692"/>
      <c r="LD229" s="692"/>
      <c r="LE229" s="692"/>
      <c r="LF229" s="692"/>
      <c r="LG229" s="692"/>
      <c r="LH229" s="692"/>
      <c r="LI229" s="692"/>
      <c r="LJ229" s="692"/>
      <c r="LK229" s="692"/>
      <c r="LL229" s="692"/>
      <c r="LM229" s="692"/>
      <c r="LN229" s="692"/>
      <c r="LO229" s="692"/>
      <c r="LP229" s="692"/>
      <c r="LQ229" s="692"/>
      <c r="LR229" s="692"/>
      <c r="LS229" s="692"/>
      <c r="LT229" s="692"/>
      <c r="LU229" s="692"/>
      <c r="LV229" s="692"/>
      <c r="LW229" s="692"/>
      <c r="LX229" s="692"/>
      <c r="LY229" s="692"/>
      <c r="LZ229" s="692"/>
      <c r="MA229" s="692"/>
      <c r="MB229" s="692"/>
      <c r="MC229" s="692"/>
      <c r="MD229" s="692"/>
      <c r="ME229" s="692"/>
      <c r="MF229" s="692"/>
      <c r="MG229" s="692"/>
      <c r="MH229" s="692"/>
      <c r="MI229" s="692"/>
      <c r="MJ229" s="692"/>
      <c r="MK229" s="692"/>
      <c r="ML229" s="692"/>
      <c r="MM229" s="692"/>
      <c r="MN229" s="692"/>
      <c r="MO229" s="692"/>
      <c r="MP229" s="692"/>
      <c r="MQ229" s="692"/>
      <c r="MR229" s="692"/>
      <c r="MS229" s="692"/>
      <c r="MT229" s="692"/>
      <c r="MU229" s="692"/>
      <c r="MV229" s="692"/>
      <c r="MW229" s="692"/>
      <c r="MX229" s="692"/>
      <c r="MY229" s="692"/>
      <c r="MZ229" s="692"/>
      <c r="NA229" s="692"/>
      <c r="NB229" s="692"/>
      <c r="NC229" s="692"/>
      <c r="ND229" s="692"/>
      <c r="NE229" s="692"/>
      <c r="NF229" s="692"/>
      <c r="NG229" s="692"/>
      <c r="NH229" s="692"/>
      <c r="NI229" s="692"/>
      <c r="NJ229" s="692"/>
      <c r="NK229" s="692"/>
      <c r="NL229" s="692"/>
      <c r="NM229" s="692"/>
      <c r="NN229" s="692"/>
      <c r="NO229" s="692"/>
      <c r="NP229" s="692"/>
      <c r="NQ229" s="692"/>
      <c r="NR229" s="692"/>
    </row>
    <row r="230" spans="1:382" ht="15.75" thickBot="1" x14ac:dyDescent="0.3">
      <c r="A230" s="47"/>
      <c r="B230" s="47" t="s">
        <v>1057</v>
      </c>
      <c r="C230" s="747">
        <f>'Input Data'!$E$300</f>
        <v>0</v>
      </c>
      <c r="D230" s="680" t="s">
        <v>390</v>
      </c>
      <c r="E230" s="63"/>
      <c r="F230" s="686"/>
      <c r="G230" s="280"/>
      <c r="H230" s="692"/>
      <c r="I230" s="692"/>
      <c r="J230" s="692"/>
      <c r="K230" s="692"/>
      <c r="L230" s="692"/>
      <c r="M230" s="692"/>
      <c r="N230" s="692"/>
      <c r="O230" s="692"/>
      <c r="P230" s="692"/>
      <c r="Q230" s="692"/>
      <c r="R230" s="692"/>
      <c r="S230" s="692"/>
      <c r="T230" s="692"/>
      <c r="U230" s="692"/>
      <c r="V230" s="692"/>
      <c r="W230" s="692"/>
      <c r="X230" s="692"/>
      <c r="Y230" s="692"/>
      <c r="Z230" s="692"/>
      <c r="AA230" s="692"/>
      <c r="AB230" s="692"/>
      <c r="AC230" s="692"/>
      <c r="AD230" s="692"/>
      <c r="AE230" s="692"/>
      <c r="AF230" s="692"/>
      <c r="AG230" s="692"/>
      <c r="AH230" s="692"/>
      <c r="AI230" s="692"/>
      <c r="AJ230" s="692"/>
      <c r="AK230" s="692"/>
      <c r="AL230" s="692"/>
      <c r="AM230" s="692"/>
      <c r="AN230" s="692"/>
      <c r="AO230" s="692"/>
      <c r="AP230" s="692"/>
      <c r="AQ230" s="692"/>
      <c r="AR230" s="692"/>
      <c r="AS230" s="692"/>
      <c r="AT230" s="692"/>
      <c r="AU230" s="692"/>
      <c r="AV230" s="692"/>
      <c r="AW230" s="692"/>
      <c r="AX230" s="692"/>
      <c r="AY230" s="692"/>
      <c r="AZ230" s="692"/>
      <c r="BA230" s="692"/>
      <c r="BB230" s="692"/>
      <c r="BC230" s="692"/>
      <c r="BD230" s="692"/>
      <c r="BE230" s="692"/>
      <c r="BF230" s="692"/>
      <c r="BG230" s="692"/>
      <c r="BH230" s="692"/>
      <c r="BI230" s="692"/>
      <c r="BJ230" s="692"/>
      <c r="BK230" s="692"/>
      <c r="BL230" s="692"/>
      <c r="BM230" s="692"/>
      <c r="BN230" s="692"/>
      <c r="BO230" s="692"/>
      <c r="BP230" s="692"/>
      <c r="BQ230" s="692"/>
      <c r="BR230" s="692"/>
      <c r="BS230" s="692"/>
      <c r="BT230" s="692"/>
      <c r="BU230" s="692"/>
      <c r="BV230" s="692"/>
      <c r="BW230" s="692"/>
      <c r="BX230" s="692"/>
      <c r="BY230" s="692"/>
      <c r="BZ230" s="692"/>
      <c r="CA230" s="692"/>
      <c r="CB230" s="692"/>
      <c r="CC230" s="692"/>
      <c r="CD230" s="692"/>
      <c r="CE230" s="692"/>
      <c r="CF230" s="692"/>
      <c r="CG230" s="692"/>
      <c r="CH230" s="692"/>
      <c r="CI230" s="692"/>
      <c r="CJ230" s="692"/>
      <c r="CK230" s="692"/>
      <c r="CL230" s="692"/>
      <c r="CM230" s="692"/>
      <c r="CN230" s="692"/>
      <c r="CO230" s="692"/>
      <c r="CP230" s="692"/>
      <c r="CQ230" s="692"/>
      <c r="CR230" s="692"/>
      <c r="CS230" s="692"/>
      <c r="CT230" s="692"/>
      <c r="CU230" s="692"/>
      <c r="CV230" s="692"/>
      <c r="CW230" s="692"/>
      <c r="CX230" s="692"/>
      <c r="CY230" s="692"/>
      <c r="CZ230" s="692"/>
      <c r="DA230" s="692"/>
      <c r="DB230" s="692"/>
      <c r="DC230" s="692"/>
      <c r="DD230" s="692"/>
      <c r="DE230" s="692"/>
      <c r="DF230" s="692"/>
      <c r="DG230" s="692"/>
      <c r="DH230" s="692"/>
      <c r="DI230" s="692"/>
      <c r="DJ230" s="692"/>
      <c r="DK230" s="692"/>
      <c r="DL230" s="692"/>
      <c r="DM230" s="692"/>
      <c r="DN230" s="692"/>
      <c r="DO230" s="692"/>
      <c r="DP230" s="692"/>
      <c r="DQ230" s="692"/>
      <c r="DR230" s="692"/>
      <c r="DS230" s="692"/>
      <c r="DT230" s="692"/>
      <c r="DU230" s="692"/>
      <c r="DV230" s="692"/>
      <c r="DW230" s="692"/>
      <c r="DX230" s="692"/>
      <c r="DY230" s="692"/>
      <c r="DZ230" s="692"/>
      <c r="EA230" s="692"/>
      <c r="EB230" s="692"/>
      <c r="EC230" s="692"/>
      <c r="ED230" s="692"/>
      <c r="EE230" s="692"/>
      <c r="EF230" s="692"/>
      <c r="EG230" s="692"/>
      <c r="EH230" s="692"/>
      <c r="EI230" s="692"/>
      <c r="EJ230" s="692"/>
      <c r="EK230" s="692"/>
      <c r="EL230" s="692"/>
      <c r="EM230" s="692"/>
      <c r="EN230" s="692"/>
      <c r="EO230" s="692"/>
      <c r="EP230" s="692"/>
      <c r="EQ230" s="692"/>
      <c r="ER230" s="692"/>
      <c r="ES230" s="692"/>
      <c r="ET230" s="692"/>
      <c r="EU230" s="692"/>
      <c r="EV230" s="692"/>
      <c r="EW230" s="692"/>
      <c r="EX230" s="692"/>
      <c r="EY230" s="692"/>
      <c r="EZ230" s="692"/>
      <c r="FA230" s="692"/>
      <c r="FB230" s="692"/>
      <c r="FC230" s="692"/>
      <c r="FD230" s="692"/>
      <c r="FE230" s="692"/>
      <c r="FF230" s="692"/>
      <c r="FG230" s="692"/>
      <c r="FH230" s="692"/>
      <c r="FI230" s="692"/>
      <c r="FJ230" s="692"/>
      <c r="FK230" s="692"/>
      <c r="FL230" s="692"/>
      <c r="FM230" s="692"/>
      <c r="FN230" s="692"/>
      <c r="FO230" s="692"/>
      <c r="FP230" s="692"/>
      <c r="FQ230" s="692"/>
      <c r="FR230" s="692"/>
      <c r="FS230" s="692"/>
      <c r="FT230" s="692"/>
      <c r="FU230" s="692"/>
      <c r="FV230" s="692"/>
      <c r="FW230" s="692"/>
      <c r="FX230" s="692"/>
      <c r="FY230" s="692"/>
      <c r="FZ230" s="692"/>
      <c r="GA230" s="692"/>
      <c r="GB230" s="692"/>
      <c r="GC230" s="692"/>
      <c r="GD230" s="692"/>
      <c r="GE230" s="692"/>
      <c r="GF230" s="692"/>
      <c r="GG230" s="692"/>
      <c r="GH230" s="692"/>
      <c r="GI230" s="692"/>
      <c r="GJ230" s="692"/>
      <c r="GK230" s="692"/>
      <c r="GL230" s="692"/>
      <c r="GM230" s="692"/>
      <c r="GN230" s="692"/>
      <c r="GO230" s="692"/>
      <c r="GP230" s="692"/>
      <c r="GQ230" s="692"/>
      <c r="GR230" s="692"/>
      <c r="GS230" s="692"/>
      <c r="GT230" s="692"/>
      <c r="GU230" s="692"/>
      <c r="GV230" s="692"/>
      <c r="GW230" s="692"/>
      <c r="GX230" s="692"/>
      <c r="GY230" s="692"/>
      <c r="GZ230" s="692"/>
      <c r="HA230" s="692"/>
      <c r="HB230" s="692"/>
      <c r="HC230" s="692"/>
      <c r="HD230" s="692"/>
      <c r="HE230" s="692"/>
      <c r="HF230" s="692"/>
      <c r="HG230" s="692"/>
      <c r="HH230" s="692"/>
      <c r="HI230" s="692"/>
      <c r="HJ230" s="692"/>
      <c r="HK230" s="692"/>
      <c r="HL230" s="692"/>
      <c r="HM230" s="692"/>
      <c r="HN230" s="692"/>
      <c r="HO230" s="692"/>
      <c r="HP230" s="692"/>
      <c r="HQ230" s="692"/>
      <c r="HR230" s="692"/>
      <c r="HS230" s="692"/>
      <c r="HT230" s="692"/>
      <c r="HU230" s="692"/>
      <c r="HV230" s="692"/>
      <c r="HW230" s="692"/>
      <c r="HX230" s="692"/>
      <c r="HY230" s="692"/>
      <c r="HZ230" s="692"/>
      <c r="IA230" s="692"/>
      <c r="IB230" s="692"/>
      <c r="IC230" s="692"/>
      <c r="ID230" s="692"/>
      <c r="IE230" s="692"/>
      <c r="IF230" s="692"/>
      <c r="IG230" s="692"/>
      <c r="IH230" s="692"/>
      <c r="II230" s="692"/>
      <c r="IJ230" s="692"/>
      <c r="IK230" s="692"/>
      <c r="IL230" s="692"/>
      <c r="IM230" s="692"/>
      <c r="IN230" s="692"/>
      <c r="IO230" s="692"/>
      <c r="IP230" s="692"/>
      <c r="IQ230" s="692"/>
      <c r="IR230" s="692"/>
      <c r="IS230" s="692"/>
      <c r="IT230" s="692"/>
      <c r="IU230" s="692"/>
      <c r="IV230" s="692"/>
      <c r="IW230" s="692"/>
      <c r="IX230" s="692"/>
      <c r="IY230" s="692"/>
      <c r="IZ230" s="692"/>
      <c r="JA230" s="692"/>
      <c r="JB230" s="692"/>
      <c r="JC230" s="692"/>
      <c r="JD230" s="692"/>
      <c r="JE230" s="692"/>
      <c r="JF230" s="692"/>
      <c r="JG230" s="692"/>
      <c r="JH230" s="692"/>
      <c r="JI230" s="692"/>
      <c r="JJ230" s="692"/>
      <c r="JK230" s="692"/>
      <c r="JL230" s="692"/>
      <c r="JM230" s="692"/>
      <c r="JN230" s="692"/>
      <c r="JO230" s="692"/>
      <c r="JP230" s="692"/>
      <c r="JQ230" s="692"/>
      <c r="JR230" s="692"/>
      <c r="JS230" s="692"/>
      <c r="JT230" s="692"/>
      <c r="JU230" s="692"/>
      <c r="JV230" s="692"/>
      <c r="JW230" s="692"/>
      <c r="JX230" s="692"/>
      <c r="JY230" s="692"/>
      <c r="JZ230" s="692"/>
      <c r="KA230" s="692"/>
      <c r="KB230" s="692"/>
      <c r="KC230" s="692"/>
      <c r="KD230" s="692"/>
      <c r="KE230" s="692"/>
      <c r="KF230" s="692"/>
      <c r="KG230" s="692"/>
      <c r="KH230" s="692"/>
      <c r="KI230" s="692"/>
      <c r="KJ230" s="692"/>
      <c r="KK230" s="692"/>
      <c r="KL230" s="692"/>
      <c r="KM230" s="692"/>
      <c r="KN230" s="692"/>
      <c r="KO230" s="692"/>
      <c r="KP230" s="692"/>
      <c r="KQ230" s="692"/>
      <c r="KR230" s="692"/>
      <c r="KS230" s="692"/>
      <c r="KT230" s="692"/>
      <c r="KU230" s="692"/>
      <c r="KV230" s="692"/>
      <c r="KW230" s="692"/>
      <c r="KX230" s="692"/>
      <c r="KY230" s="692"/>
      <c r="KZ230" s="692"/>
      <c r="LA230" s="692"/>
      <c r="LB230" s="692"/>
      <c r="LC230" s="692"/>
      <c r="LD230" s="692"/>
      <c r="LE230" s="692"/>
      <c r="LF230" s="692"/>
      <c r="LG230" s="692"/>
      <c r="LH230" s="692"/>
      <c r="LI230" s="692"/>
      <c r="LJ230" s="692"/>
      <c r="LK230" s="692"/>
      <c r="LL230" s="692"/>
      <c r="LM230" s="692"/>
      <c r="LN230" s="692"/>
      <c r="LO230" s="692"/>
      <c r="LP230" s="692"/>
      <c r="LQ230" s="692"/>
      <c r="LR230" s="692"/>
      <c r="LS230" s="692"/>
      <c r="LT230" s="692"/>
      <c r="LU230" s="692"/>
      <c r="LV230" s="692"/>
      <c r="LW230" s="692"/>
      <c r="LX230" s="692"/>
      <c r="LY230" s="692"/>
      <c r="LZ230" s="692"/>
      <c r="MA230" s="692"/>
      <c r="MB230" s="692"/>
      <c r="MC230" s="692"/>
      <c r="MD230" s="692"/>
      <c r="ME230" s="692"/>
      <c r="MF230" s="692"/>
      <c r="MG230" s="692"/>
      <c r="MH230" s="692"/>
      <c r="MI230" s="692"/>
      <c r="MJ230" s="692"/>
      <c r="MK230" s="692"/>
      <c r="ML230" s="692"/>
      <c r="MM230" s="692"/>
      <c r="MN230" s="692"/>
      <c r="MO230" s="692"/>
      <c r="MP230" s="692"/>
      <c r="MQ230" s="692"/>
      <c r="MR230" s="692"/>
      <c r="MS230" s="692"/>
      <c r="MT230" s="692"/>
      <c r="MU230" s="692"/>
      <c r="MV230" s="692"/>
      <c r="MW230" s="692"/>
      <c r="MX230" s="692"/>
      <c r="MY230" s="692"/>
      <c r="MZ230" s="692"/>
      <c r="NA230" s="692"/>
      <c r="NB230" s="692"/>
      <c r="NC230" s="692"/>
      <c r="ND230" s="692"/>
      <c r="NE230" s="692"/>
      <c r="NF230" s="692"/>
      <c r="NG230" s="692"/>
      <c r="NH230" s="692"/>
      <c r="NI230" s="692"/>
      <c r="NJ230" s="692"/>
      <c r="NK230" s="692"/>
      <c r="NL230" s="692"/>
      <c r="NM230" s="692"/>
      <c r="NN230" s="692"/>
      <c r="NO230" s="692"/>
      <c r="NP230" s="692"/>
      <c r="NQ230" s="692"/>
      <c r="NR230" s="692"/>
    </row>
    <row r="231" spans="1:382" s="692" customFormat="1" ht="27" x14ac:dyDescent="0.25">
      <c r="A231" s="679"/>
      <c r="B231" s="680" t="s">
        <v>1695</v>
      </c>
      <c r="C231" s="177">
        <f>'Conversion factors'!B6</f>
        <v>37.840000000000003</v>
      </c>
      <c r="D231" s="91" t="s">
        <v>611</v>
      </c>
      <c r="E231" s="47"/>
      <c r="F231" s="218" t="s">
        <v>612</v>
      </c>
      <c r="G231" s="280"/>
    </row>
    <row r="232" spans="1:382" s="692" customFormat="1" ht="27.75" thickBot="1" x14ac:dyDescent="0.3">
      <c r="A232" s="679"/>
      <c r="B232" s="680" t="s">
        <v>1696</v>
      </c>
      <c r="C232" s="177">
        <f>'Conversion factors'!B5</f>
        <v>1.1599999999999999</v>
      </c>
      <c r="D232" s="85" t="s">
        <v>1580</v>
      </c>
      <c r="E232" s="99"/>
      <c r="F232" s="218" t="s">
        <v>1690</v>
      </c>
      <c r="G232" s="14"/>
    </row>
    <row r="233" spans="1:382" ht="15.75" thickBot="1" x14ac:dyDescent="0.3">
      <c r="A233" s="679"/>
      <c r="B233" s="189" t="s">
        <v>1697</v>
      </c>
      <c r="C233" s="401">
        <f>C230*C231*C232</f>
        <v>0</v>
      </c>
      <c r="D233" s="680" t="s">
        <v>1575</v>
      </c>
      <c r="E233" s="63"/>
      <c r="F233" s="209"/>
      <c r="G233" s="14"/>
      <c r="H233" s="692"/>
      <c r="I233" s="692"/>
      <c r="J233" s="692"/>
      <c r="K233" s="692"/>
      <c r="L233" s="692"/>
      <c r="M233" s="692"/>
      <c r="N233" s="692"/>
      <c r="O233" s="692"/>
      <c r="P233" s="692"/>
      <c r="Q233" s="692"/>
      <c r="R233" s="692"/>
      <c r="S233" s="692"/>
      <c r="T233" s="692"/>
      <c r="U233" s="692"/>
      <c r="V233" s="692"/>
      <c r="W233" s="692"/>
      <c r="X233" s="692"/>
      <c r="Y233" s="692"/>
      <c r="Z233" s="692"/>
      <c r="AA233" s="692"/>
      <c r="AB233" s="692"/>
      <c r="AC233" s="692"/>
      <c r="AD233" s="692"/>
      <c r="AE233" s="692"/>
      <c r="AF233" s="692"/>
      <c r="AG233" s="692"/>
      <c r="AH233" s="692"/>
      <c r="AI233" s="692"/>
      <c r="AJ233" s="692"/>
      <c r="AK233" s="692"/>
      <c r="AL233" s="692"/>
      <c r="AM233" s="692"/>
      <c r="AN233" s="692"/>
      <c r="AO233" s="692"/>
      <c r="AP233" s="692"/>
      <c r="AQ233" s="692"/>
      <c r="AR233" s="692"/>
      <c r="AS233" s="692"/>
      <c r="AT233" s="692"/>
      <c r="AU233" s="692"/>
      <c r="AV233" s="692"/>
      <c r="AW233" s="692"/>
      <c r="AX233" s="692"/>
      <c r="AY233" s="692"/>
      <c r="AZ233" s="692"/>
      <c r="BA233" s="692"/>
      <c r="BB233" s="692"/>
      <c r="BC233" s="692"/>
      <c r="BD233" s="692"/>
      <c r="BE233" s="692"/>
      <c r="BF233" s="692"/>
      <c r="BG233" s="692"/>
      <c r="BH233" s="692"/>
      <c r="BI233" s="692"/>
      <c r="BJ233" s="692"/>
      <c r="BK233" s="692"/>
      <c r="BL233" s="692"/>
      <c r="BM233" s="692"/>
      <c r="BN233" s="692"/>
      <c r="BO233" s="692"/>
      <c r="BP233" s="692"/>
      <c r="BQ233" s="692"/>
      <c r="BR233" s="692"/>
      <c r="BS233" s="692"/>
      <c r="BT233" s="692"/>
      <c r="BU233" s="692"/>
      <c r="BV233" s="692"/>
      <c r="BW233" s="692"/>
      <c r="BX233" s="692"/>
      <c r="BY233" s="692"/>
      <c r="BZ233" s="692"/>
      <c r="CA233" s="692"/>
      <c r="CB233" s="692"/>
      <c r="CC233" s="692"/>
      <c r="CD233" s="692"/>
      <c r="CE233" s="692"/>
      <c r="CF233" s="692"/>
      <c r="CG233" s="692"/>
      <c r="CH233" s="692"/>
      <c r="CI233" s="692"/>
      <c r="CJ233" s="692"/>
      <c r="CK233" s="692"/>
      <c r="CL233" s="692"/>
      <c r="CM233" s="692"/>
      <c r="CN233" s="692"/>
      <c r="CO233" s="692"/>
      <c r="CP233" s="692"/>
      <c r="CQ233" s="692"/>
      <c r="CR233" s="692"/>
      <c r="CS233" s="692"/>
      <c r="CT233" s="692"/>
      <c r="CU233" s="692"/>
      <c r="CV233" s="692"/>
      <c r="CW233" s="692"/>
      <c r="CX233" s="692"/>
      <c r="CY233" s="692"/>
      <c r="CZ233" s="692"/>
      <c r="DA233" s="692"/>
      <c r="DB233" s="692"/>
      <c r="DC233" s="692"/>
      <c r="DD233" s="692"/>
      <c r="DE233" s="692"/>
      <c r="DF233" s="692"/>
      <c r="DG233" s="692"/>
      <c r="DH233" s="692"/>
      <c r="DI233" s="692"/>
      <c r="DJ233" s="692"/>
      <c r="DK233" s="692"/>
      <c r="DL233" s="692"/>
      <c r="DM233" s="692"/>
      <c r="DN233" s="692"/>
      <c r="DO233" s="692"/>
      <c r="DP233" s="692"/>
      <c r="DQ233" s="692"/>
      <c r="DR233" s="692"/>
      <c r="DS233" s="692"/>
      <c r="DT233" s="692"/>
      <c r="DU233" s="692"/>
      <c r="DV233" s="692"/>
      <c r="DW233" s="692"/>
      <c r="DX233" s="692"/>
      <c r="DY233" s="692"/>
      <c r="DZ233" s="692"/>
      <c r="EA233" s="692"/>
      <c r="EB233" s="692"/>
      <c r="EC233" s="692"/>
      <c r="ED233" s="692"/>
      <c r="EE233" s="692"/>
      <c r="EF233" s="692"/>
      <c r="EG233" s="692"/>
      <c r="EH233" s="692"/>
      <c r="EI233" s="692"/>
      <c r="EJ233" s="692"/>
      <c r="EK233" s="692"/>
      <c r="EL233" s="692"/>
      <c r="EM233" s="692"/>
      <c r="EN233" s="692"/>
      <c r="EO233" s="692"/>
      <c r="EP233" s="692"/>
      <c r="EQ233" s="692"/>
      <c r="ER233" s="692"/>
      <c r="ES233" s="692"/>
      <c r="ET233" s="692"/>
      <c r="EU233" s="692"/>
      <c r="EV233" s="692"/>
      <c r="EW233" s="692"/>
      <c r="EX233" s="692"/>
      <c r="EY233" s="692"/>
      <c r="EZ233" s="692"/>
      <c r="FA233" s="692"/>
      <c r="FB233" s="692"/>
      <c r="FC233" s="692"/>
      <c r="FD233" s="692"/>
      <c r="FE233" s="692"/>
      <c r="FF233" s="692"/>
      <c r="FG233" s="692"/>
      <c r="FH233" s="692"/>
      <c r="FI233" s="692"/>
      <c r="FJ233" s="692"/>
      <c r="FK233" s="692"/>
      <c r="FL233" s="692"/>
      <c r="FM233" s="692"/>
      <c r="FN233" s="692"/>
      <c r="FO233" s="692"/>
      <c r="FP233" s="692"/>
      <c r="FQ233" s="692"/>
      <c r="FR233" s="692"/>
      <c r="FS233" s="692"/>
      <c r="FT233" s="692"/>
      <c r="FU233" s="692"/>
      <c r="FV233" s="692"/>
      <c r="FW233" s="692"/>
      <c r="FX233" s="692"/>
      <c r="FY233" s="692"/>
      <c r="FZ233" s="692"/>
      <c r="GA233" s="692"/>
      <c r="GB233" s="692"/>
      <c r="GC233" s="692"/>
      <c r="GD233" s="692"/>
      <c r="GE233" s="692"/>
      <c r="GF233" s="692"/>
      <c r="GG233" s="692"/>
      <c r="GH233" s="692"/>
      <c r="GI233" s="692"/>
      <c r="GJ233" s="692"/>
      <c r="GK233" s="692"/>
      <c r="GL233" s="692"/>
      <c r="GM233" s="692"/>
      <c r="GN233" s="692"/>
      <c r="GO233" s="692"/>
      <c r="GP233" s="692"/>
      <c r="GQ233" s="692"/>
      <c r="GR233" s="692"/>
      <c r="GS233" s="692"/>
      <c r="GT233" s="692"/>
      <c r="GU233" s="692"/>
      <c r="GV233" s="692"/>
      <c r="GW233" s="692"/>
      <c r="GX233" s="692"/>
      <c r="GY233" s="692"/>
      <c r="GZ233" s="692"/>
      <c r="HA233" s="692"/>
      <c r="HB233" s="692"/>
      <c r="HC233" s="692"/>
      <c r="HD233" s="692"/>
      <c r="HE233" s="692"/>
      <c r="HF233" s="692"/>
      <c r="HG233" s="692"/>
      <c r="HH233" s="692"/>
      <c r="HI233" s="692"/>
      <c r="HJ233" s="692"/>
      <c r="HK233" s="692"/>
      <c r="HL233" s="692"/>
      <c r="HM233" s="692"/>
      <c r="HN233" s="692"/>
      <c r="HO233" s="692"/>
      <c r="HP233" s="692"/>
      <c r="HQ233" s="692"/>
      <c r="HR233" s="692"/>
      <c r="HS233" s="692"/>
      <c r="HT233" s="692"/>
      <c r="HU233" s="692"/>
      <c r="HV233" s="692"/>
      <c r="HW233" s="692"/>
      <c r="HX233" s="692"/>
      <c r="HY233" s="692"/>
      <c r="HZ233" s="692"/>
      <c r="IA233" s="692"/>
      <c r="IB233" s="692"/>
      <c r="IC233" s="692"/>
      <c r="ID233" s="692"/>
      <c r="IE233" s="692"/>
      <c r="IF233" s="692"/>
      <c r="IG233" s="692"/>
      <c r="IH233" s="692"/>
      <c r="II233" s="692"/>
      <c r="IJ233" s="692"/>
      <c r="IK233" s="692"/>
      <c r="IL233" s="692"/>
      <c r="IM233" s="692"/>
      <c r="IN233" s="692"/>
      <c r="IO233" s="692"/>
      <c r="IP233" s="692"/>
      <c r="IQ233" s="692"/>
      <c r="IR233" s="692"/>
      <c r="IS233" s="692"/>
      <c r="IT233" s="692"/>
      <c r="IU233" s="692"/>
      <c r="IV233" s="692"/>
      <c r="IW233" s="692"/>
      <c r="IX233" s="692"/>
      <c r="IY233" s="692"/>
      <c r="IZ233" s="692"/>
      <c r="JA233" s="692"/>
      <c r="JB233" s="692"/>
      <c r="JC233" s="692"/>
      <c r="JD233" s="692"/>
      <c r="JE233" s="692"/>
      <c r="JF233" s="692"/>
      <c r="JG233" s="692"/>
      <c r="JH233" s="692"/>
      <c r="JI233" s="692"/>
      <c r="JJ233" s="692"/>
      <c r="JK233" s="692"/>
      <c r="JL233" s="692"/>
      <c r="JM233" s="692"/>
      <c r="JN233" s="692"/>
      <c r="JO233" s="692"/>
      <c r="JP233" s="692"/>
      <c r="JQ233" s="692"/>
      <c r="JR233" s="692"/>
      <c r="JS233" s="692"/>
      <c r="JT233" s="692"/>
      <c r="JU233" s="692"/>
      <c r="JV233" s="692"/>
      <c r="JW233" s="692"/>
      <c r="JX233" s="692"/>
      <c r="JY233" s="692"/>
      <c r="JZ233" s="692"/>
      <c r="KA233" s="692"/>
      <c r="KB233" s="692"/>
      <c r="KC233" s="692"/>
      <c r="KD233" s="692"/>
      <c r="KE233" s="692"/>
      <c r="KF233" s="692"/>
      <c r="KG233" s="692"/>
      <c r="KH233" s="692"/>
      <c r="KI233" s="692"/>
      <c r="KJ233" s="692"/>
      <c r="KK233" s="692"/>
      <c r="KL233" s="692"/>
      <c r="KM233" s="692"/>
      <c r="KN233" s="692"/>
      <c r="KO233" s="692"/>
      <c r="KP233" s="692"/>
      <c r="KQ233" s="692"/>
      <c r="KR233" s="692"/>
      <c r="KS233" s="692"/>
      <c r="KT233" s="692"/>
      <c r="KU233" s="692"/>
      <c r="KV233" s="692"/>
      <c r="KW233" s="692"/>
      <c r="KX233" s="692"/>
      <c r="KY233" s="692"/>
      <c r="KZ233" s="692"/>
      <c r="LA233" s="692"/>
      <c r="LB233" s="692"/>
      <c r="LC233" s="692"/>
      <c r="LD233" s="692"/>
      <c r="LE233" s="692"/>
      <c r="LF233" s="692"/>
      <c r="LG233" s="692"/>
      <c r="LH233" s="692"/>
      <c r="LI233" s="692"/>
      <c r="LJ233" s="692"/>
      <c r="LK233" s="692"/>
      <c r="LL233" s="692"/>
      <c r="LM233" s="692"/>
      <c r="LN233" s="692"/>
      <c r="LO233" s="692"/>
      <c r="LP233" s="692"/>
      <c r="LQ233" s="692"/>
      <c r="LR233" s="692"/>
      <c r="LS233" s="692"/>
      <c r="LT233" s="692"/>
      <c r="LU233" s="692"/>
      <c r="LV233" s="692"/>
      <c r="LW233" s="692"/>
      <c r="LX233" s="692"/>
      <c r="LY233" s="692"/>
      <c r="LZ233" s="692"/>
      <c r="MA233" s="692"/>
      <c r="MB233" s="692"/>
      <c r="MC233" s="692"/>
      <c r="MD233" s="692"/>
      <c r="ME233" s="692"/>
      <c r="MF233" s="692"/>
      <c r="MG233" s="692"/>
      <c r="MH233" s="692"/>
      <c r="MI233" s="692"/>
      <c r="MJ233" s="692"/>
      <c r="MK233" s="692"/>
      <c r="ML233" s="692"/>
      <c r="MM233" s="692"/>
      <c r="MN233" s="692"/>
      <c r="MO233" s="692"/>
      <c r="MP233" s="692"/>
      <c r="MQ233" s="692"/>
      <c r="MR233" s="692"/>
      <c r="MS233" s="692"/>
      <c r="MT233" s="692"/>
      <c r="MU233" s="692"/>
      <c r="MV233" s="692"/>
      <c r="MW233" s="692"/>
      <c r="MX233" s="692"/>
      <c r="MY233" s="692"/>
      <c r="MZ233" s="692"/>
      <c r="NA233" s="692"/>
      <c r="NB233" s="692"/>
      <c r="NC233" s="692"/>
      <c r="ND233" s="692"/>
      <c r="NE233" s="692"/>
      <c r="NF233" s="692"/>
      <c r="NG233" s="692"/>
      <c r="NH233" s="692"/>
      <c r="NI233" s="692"/>
      <c r="NJ233" s="692"/>
      <c r="NK233" s="692"/>
      <c r="NL233" s="692"/>
      <c r="NM233" s="692"/>
      <c r="NN233" s="692"/>
      <c r="NO233" s="692"/>
      <c r="NP233" s="692"/>
      <c r="NQ233" s="692"/>
      <c r="NR233" s="692"/>
    </row>
    <row r="234" spans="1:382" ht="15.75" thickBot="1" x14ac:dyDescent="0.3">
      <c r="A234" s="679"/>
      <c r="B234" s="103"/>
      <c r="C234" s="401"/>
      <c r="D234" s="25"/>
      <c r="E234" s="47"/>
      <c r="F234" s="209"/>
      <c r="G234" s="14"/>
      <c r="H234" s="692"/>
      <c r="I234" s="692"/>
      <c r="J234" s="692"/>
      <c r="K234" s="692"/>
      <c r="L234" s="692"/>
      <c r="M234" s="692"/>
      <c r="N234" s="692"/>
      <c r="O234" s="692"/>
      <c r="P234" s="692"/>
      <c r="Q234" s="692"/>
      <c r="R234" s="692"/>
      <c r="S234" s="692"/>
      <c r="T234" s="692"/>
      <c r="U234" s="692"/>
      <c r="V234" s="692"/>
      <c r="W234" s="692"/>
      <c r="X234" s="692"/>
      <c r="Y234" s="692"/>
      <c r="Z234" s="692"/>
      <c r="AA234" s="692"/>
      <c r="AB234" s="692"/>
      <c r="AC234" s="692"/>
      <c r="AD234" s="692"/>
      <c r="AE234" s="692"/>
      <c r="AF234" s="692"/>
      <c r="AG234" s="692"/>
      <c r="AH234" s="692"/>
      <c r="AI234" s="692"/>
      <c r="AJ234" s="692"/>
      <c r="AK234" s="692"/>
      <c r="AL234" s="692"/>
      <c r="AM234" s="692"/>
      <c r="AN234" s="692"/>
      <c r="AO234" s="692"/>
      <c r="AP234" s="692"/>
      <c r="AQ234" s="692"/>
      <c r="AR234" s="692"/>
      <c r="AS234" s="692"/>
      <c r="AT234" s="692"/>
      <c r="AU234" s="692"/>
      <c r="AV234" s="692"/>
      <c r="AW234" s="692"/>
      <c r="AX234" s="692"/>
      <c r="AY234" s="692"/>
      <c r="AZ234" s="692"/>
      <c r="BA234" s="692"/>
      <c r="BB234" s="692"/>
      <c r="BC234" s="692"/>
      <c r="BD234" s="692"/>
      <c r="BE234" s="692"/>
      <c r="BF234" s="692"/>
      <c r="BG234" s="692"/>
      <c r="BH234" s="692"/>
      <c r="BI234" s="692"/>
      <c r="BJ234" s="692"/>
      <c r="BK234" s="692"/>
      <c r="BL234" s="692"/>
      <c r="BM234" s="692"/>
      <c r="BN234" s="692"/>
      <c r="BO234" s="692"/>
      <c r="BP234" s="692"/>
      <c r="BQ234" s="692"/>
      <c r="BR234" s="692"/>
      <c r="BS234" s="692"/>
      <c r="BT234" s="692"/>
      <c r="BU234" s="692"/>
      <c r="BV234" s="692"/>
      <c r="BW234" s="692"/>
      <c r="BX234" s="692"/>
      <c r="BY234" s="692"/>
      <c r="BZ234" s="692"/>
      <c r="CA234" s="692"/>
      <c r="CB234" s="692"/>
      <c r="CC234" s="692"/>
      <c r="CD234" s="692"/>
      <c r="CE234" s="692"/>
      <c r="CF234" s="692"/>
      <c r="CG234" s="692"/>
      <c r="CH234" s="692"/>
      <c r="CI234" s="692"/>
      <c r="CJ234" s="692"/>
      <c r="CK234" s="692"/>
      <c r="CL234" s="692"/>
      <c r="CM234" s="692"/>
      <c r="CN234" s="692"/>
      <c r="CO234" s="692"/>
      <c r="CP234" s="692"/>
      <c r="CQ234" s="692"/>
      <c r="CR234" s="692"/>
      <c r="CS234" s="692"/>
      <c r="CT234" s="692"/>
      <c r="CU234" s="692"/>
      <c r="CV234" s="692"/>
      <c r="CW234" s="692"/>
      <c r="CX234" s="692"/>
      <c r="CY234" s="692"/>
      <c r="CZ234" s="692"/>
      <c r="DA234" s="692"/>
      <c r="DB234" s="692"/>
      <c r="DC234" s="692"/>
      <c r="DD234" s="692"/>
      <c r="DE234" s="692"/>
      <c r="DF234" s="692"/>
      <c r="DG234" s="692"/>
      <c r="DH234" s="692"/>
      <c r="DI234" s="692"/>
      <c r="DJ234" s="692"/>
      <c r="DK234" s="692"/>
      <c r="DL234" s="692"/>
      <c r="DM234" s="692"/>
      <c r="DN234" s="692"/>
      <c r="DO234" s="692"/>
      <c r="DP234" s="692"/>
      <c r="DQ234" s="692"/>
      <c r="DR234" s="692"/>
      <c r="DS234" s="692"/>
      <c r="DT234" s="692"/>
      <c r="DU234" s="692"/>
      <c r="DV234" s="692"/>
      <c r="DW234" s="692"/>
      <c r="DX234" s="692"/>
      <c r="DY234" s="692"/>
      <c r="DZ234" s="692"/>
      <c r="EA234" s="692"/>
      <c r="EB234" s="692"/>
      <c r="EC234" s="692"/>
      <c r="ED234" s="692"/>
      <c r="EE234" s="692"/>
      <c r="EF234" s="692"/>
      <c r="EG234" s="692"/>
      <c r="EH234" s="692"/>
      <c r="EI234" s="692"/>
      <c r="EJ234" s="692"/>
      <c r="EK234" s="692"/>
      <c r="EL234" s="692"/>
      <c r="EM234" s="692"/>
      <c r="EN234" s="692"/>
      <c r="EO234" s="692"/>
      <c r="EP234" s="692"/>
      <c r="EQ234" s="692"/>
      <c r="ER234" s="692"/>
      <c r="ES234" s="692"/>
      <c r="ET234" s="692"/>
      <c r="EU234" s="692"/>
      <c r="EV234" s="692"/>
      <c r="EW234" s="692"/>
      <c r="EX234" s="692"/>
      <c r="EY234" s="692"/>
      <c r="EZ234" s="692"/>
      <c r="FA234" s="692"/>
      <c r="FB234" s="692"/>
      <c r="FC234" s="692"/>
      <c r="FD234" s="692"/>
      <c r="FE234" s="692"/>
      <c r="FF234" s="692"/>
      <c r="FG234" s="692"/>
      <c r="FH234" s="692"/>
      <c r="FI234" s="692"/>
      <c r="FJ234" s="692"/>
      <c r="FK234" s="692"/>
      <c r="FL234" s="692"/>
      <c r="FM234" s="692"/>
      <c r="FN234" s="692"/>
      <c r="FO234" s="692"/>
      <c r="FP234" s="692"/>
      <c r="FQ234" s="692"/>
      <c r="FR234" s="692"/>
      <c r="FS234" s="692"/>
      <c r="FT234" s="692"/>
      <c r="FU234" s="692"/>
      <c r="FV234" s="692"/>
      <c r="FW234" s="692"/>
      <c r="FX234" s="692"/>
      <c r="FY234" s="692"/>
      <c r="FZ234" s="692"/>
      <c r="GA234" s="692"/>
      <c r="GB234" s="692"/>
      <c r="GC234" s="692"/>
      <c r="GD234" s="692"/>
      <c r="GE234" s="692"/>
      <c r="GF234" s="692"/>
      <c r="GG234" s="692"/>
      <c r="GH234" s="692"/>
      <c r="GI234" s="692"/>
      <c r="GJ234" s="692"/>
      <c r="GK234" s="692"/>
      <c r="GL234" s="692"/>
      <c r="GM234" s="692"/>
      <c r="GN234" s="692"/>
      <c r="GO234" s="692"/>
      <c r="GP234" s="692"/>
      <c r="GQ234" s="692"/>
      <c r="GR234" s="692"/>
      <c r="GS234" s="692"/>
      <c r="GT234" s="692"/>
      <c r="GU234" s="692"/>
      <c r="GV234" s="692"/>
      <c r="GW234" s="692"/>
      <c r="GX234" s="692"/>
      <c r="GY234" s="692"/>
      <c r="GZ234" s="692"/>
      <c r="HA234" s="692"/>
      <c r="HB234" s="692"/>
      <c r="HC234" s="692"/>
      <c r="HD234" s="692"/>
      <c r="HE234" s="692"/>
      <c r="HF234" s="692"/>
      <c r="HG234" s="692"/>
      <c r="HH234" s="692"/>
      <c r="HI234" s="692"/>
      <c r="HJ234" s="692"/>
      <c r="HK234" s="692"/>
      <c r="HL234" s="692"/>
      <c r="HM234" s="692"/>
      <c r="HN234" s="692"/>
      <c r="HO234" s="692"/>
      <c r="HP234" s="692"/>
      <c r="HQ234" s="692"/>
      <c r="HR234" s="692"/>
      <c r="HS234" s="692"/>
      <c r="HT234" s="692"/>
      <c r="HU234" s="692"/>
      <c r="HV234" s="692"/>
      <c r="HW234" s="692"/>
      <c r="HX234" s="692"/>
      <c r="HY234" s="692"/>
      <c r="HZ234" s="692"/>
      <c r="IA234" s="692"/>
      <c r="IB234" s="692"/>
      <c r="IC234" s="692"/>
      <c r="ID234" s="692"/>
      <c r="IE234" s="692"/>
      <c r="IF234" s="692"/>
      <c r="IG234" s="692"/>
      <c r="IH234" s="692"/>
      <c r="II234" s="692"/>
      <c r="IJ234" s="692"/>
      <c r="IK234" s="692"/>
      <c r="IL234" s="692"/>
      <c r="IM234" s="692"/>
      <c r="IN234" s="692"/>
      <c r="IO234" s="692"/>
      <c r="IP234" s="692"/>
      <c r="IQ234" s="692"/>
      <c r="IR234" s="692"/>
      <c r="IS234" s="692"/>
      <c r="IT234" s="692"/>
      <c r="IU234" s="692"/>
      <c r="IV234" s="692"/>
      <c r="IW234" s="692"/>
      <c r="IX234" s="692"/>
      <c r="IY234" s="692"/>
      <c r="IZ234" s="692"/>
      <c r="JA234" s="692"/>
      <c r="JB234" s="692"/>
      <c r="JC234" s="692"/>
      <c r="JD234" s="692"/>
      <c r="JE234" s="692"/>
      <c r="JF234" s="692"/>
      <c r="JG234" s="692"/>
      <c r="JH234" s="692"/>
      <c r="JI234" s="692"/>
      <c r="JJ234" s="692"/>
      <c r="JK234" s="692"/>
      <c r="JL234" s="692"/>
      <c r="JM234" s="692"/>
      <c r="JN234" s="692"/>
      <c r="JO234" s="692"/>
      <c r="JP234" s="692"/>
      <c r="JQ234" s="692"/>
      <c r="JR234" s="692"/>
      <c r="JS234" s="692"/>
      <c r="JT234" s="692"/>
      <c r="JU234" s="692"/>
      <c r="JV234" s="692"/>
      <c r="JW234" s="692"/>
      <c r="JX234" s="692"/>
      <c r="JY234" s="692"/>
      <c r="JZ234" s="692"/>
      <c r="KA234" s="692"/>
      <c r="KB234" s="692"/>
      <c r="KC234" s="692"/>
      <c r="KD234" s="692"/>
      <c r="KE234" s="692"/>
      <c r="KF234" s="692"/>
      <c r="KG234" s="692"/>
      <c r="KH234" s="692"/>
      <c r="KI234" s="692"/>
      <c r="KJ234" s="692"/>
      <c r="KK234" s="692"/>
      <c r="KL234" s="692"/>
      <c r="KM234" s="692"/>
      <c r="KN234" s="692"/>
      <c r="KO234" s="692"/>
      <c r="KP234" s="692"/>
      <c r="KQ234" s="692"/>
      <c r="KR234" s="692"/>
      <c r="KS234" s="692"/>
      <c r="KT234" s="692"/>
      <c r="KU234" s="692"/>
      <c r="KV234" s="692"/>
      <c r="KW234" s="692"/>
      <c r="KX234" s="692"/>
      <c r="KY234" s="692"/>
      <c r="KZ234" s="692"/>
      <c r="LA234" s="692"/>
      <c r="LB234" s="692"/>
      <c r="LC234" s="692"/>
      <c r="LD234" s="692"/>
      <c r="LE234" s="692"/>
      <c r="LF234" s="692"/>
      <c r="LG234" s="692"/>
      <c r="LH234" s="692"/>
      <c r="LI234" s="692"/>
      <c r="LJ234" s="692"/>
      <c r="LK234" s="692"/>
      <c r="LL234" s="692"/>
      <c r="LM234" s="692"/>
      <c r="LN234" s="692"/>
      <c r="LO234" s="692"/>
      <c r="LP234" s="692"/>
      <c r="LQ234" s="692"/>
      <c r="LR234" s="692"/>
      <c r="LS234" s="692"/>
      <c r="LT234" s="692"/>
      <c r="LU234" s="692"/>
      <c r="LV234" s="692"/>
      <c r="LW234" s="692"/>
      <c r="LX234" s="692"/>
      <c r="LY234" s="692"/>
      <c r="LZ234" s="692"/>
      <c r="MA234" s="692"/>
      <c r="MB234" s="692"/>
      <c r="MC234" s="692"/>
      <c r="MD234" s="692"/>
      <c r="ME234" s="692"/>
      <c r="MF234" s="692"/>
      <c r="MG234" s="692"/>
      <c r="MH234" s="692"/>
      <c r="MI234" s="692"/>
      <c r="MJ234" s="692"/>
      <c r="MK234" s="692"/>
      <c r="ML234" s="692"/>
      <c r="MM234" s="692"/>
      <c r="MN234" s="692"/>
      <c r="MO234" s="692"/>
      <c r="MP234" s="692"/>
      <c r="MQ234" s="692"/>
      <c r="MR234" s="692"/>
      <c r="MS234" s="692"/>
      <c r="MT234" s="692"/>
      <c r="MU234" s="692"/>
      <c r="MV234" s="692"/>
      <c r="MW234" s="692"/>
      <c r="MX234" s="692"/>
      <c r="MY234" s="692"/>
      <c r="MZ234" s="692"/>
      <c r="NA234" s="692"/>
      <c r="NB234" s="692"/>
      <c r="NC234" s="692"/>
      <c r="ND234" s="692"/>
      <c r="NE234" s="692"/>
      <c r="NF234" s="692"/>
      <c r="NG234" s="692"/>
      <c r="NH234" s="692"/>
      <c r="NI234" s="692"/>
      <c r="NJ234" s="692"/>
      <c r="NK234" s="692"/>
      <c r="NL234" s="692"/>
      <c r="NM234" s="692"/>
      <c r="NN234" s="692"/>
      <c r="NO234" s="692"/>
      <c r="NP234" s="692"/>
      <c r="NQ234" s="692"/>
      <c r="NR234" s="692"/>
    </row>
    <row r="235" spans="1:382" ht="15.75" thickBot="1" x14ac:dyDescent="0.3">
      <c r="A235" s="679"/>
      <c r="B235" s="680" t="s">
        <v>1698</v>
      </c>
      <c r="C235" s="422">
        <f>'Input Data'!$E$301</f>
        <v>0</v>
      </c>
      <c r="D235" s="680" t="s">
        <v>1061</v>
      </c>
      <c r="E235" s="47"/>
      <c r="F235" s="217" t="s">
        <v>1062</v>
      </c>
      <c r="G235" s="692"/>
      <c r="H235" s="692"/>
      <c r="I235" s="692"/>
      <c r="J235" s="692"/>
      <c r="K235" s="692"/>
      <c r="L235" s="692"/>
      <c r="M235" s="692"/>
      <c r="N235" s="692"/>
      <c r="O235" s="692"/>
      <c r="P235" s="692"/>
      <c r="Q235" s="692"/>
      <c r="R235" s="692"/>
      <c r="S235" s="692"/>
      <c r="T235" s="692"/>
      <c r="U235" s="692"/>
      <c r="V235" s="692"/>
      <c r="W235" s="692"/>
      <c r="X235" s="692"/>
      <c r="Y235" s="692"/>
      <c r="Z235" s="692"/>
      <c r="AA235" s="692"/>
      <c r="AB235" s="692"/>
      <c r="AC235" s="692"/>
      <c r="AD235" s="692"/>
      <c r="AE235" s="692"/>
      <c r="AF235" s="692"/>
      <c r="AG235" s="692"/>
      <c r="AH235" s="692"/>
      <c r="AI235" s="692"/>
      <c r="AJ235" s="692"/>
      <c r="AK235" s="692"/>
      <c r="AL235" s="692"/>
      <c r="AM235" s="692"/>
      <c r="AN235" s="692"/>
      <c r="AO235" s="692"/>
      <c r="AP235" s="692"/>
      <c r="AQ235" s="692"/>
      <c r="AR235" s="692"/>
      <c r="AS235" s="692"/>
      <c r="AT235" s="692"/>
      <c r="AU235" s="692"/>
      <c r="AV235" s="692"/>
      <c r="AW235" s="692"/>
      <c r="AX235" s="692"/>
      <c r="AY235" s="692"/>
      <c r="AZ235" s="692"/>
      <c r="BA235" s="692"/>
      <c r="BB235" s="692"/>
      <c r="BC235" s="692"/>
      <c r="BD235" s="692"/>
      <c r="BE235" s="692"/>
      <c r="BF235" s="692"/>
      <c r="BG235" s="692"/>
      <c r="BH235" s="692"/>
      <c r="BI235" s="692"/>
      <c r="BJ235" s="692"/>
      <c r="BK235" s="692"/>
      <c r="BL235" s="692"/>
      <c r="BM235" s="692"/>
      <c r="BN235" s="692"/>
      <c r="BO235" s="692"/>
      <c r="BP235" s="692"/>
      <c r="BQ235" s="692"/>
      <c r="BR235" s="692"/>
      <c r="BS235" s="692"/>
      <c r="BT235" s="692"/>
      <c r="BU235" s="692"/>
      <c r="BV235" s="692"/>
      <c r="BW235" s="692"/>
      <c r="BX235" s="692"/>
      <c r="BY235" s="692"/>
      <c r="BZ235" s="692"/>
      <c r="CA235" s="692"/>
      <c r="CB235" s="692"/>
      <c r="CC235" s="692"/>
      <c r="CD235" s="692"/>
      <c r="CE235" s="692"/>
      <c r="CF235" s="692"/>
      <c r="CG235" s="692"/>
      <c r="CH235" s="692"/>
      <c r="CI235" s="692"/>
      <c r="CJ235" s="692"/>
      <c r="CK235" s="692"/>
      <c r="CL235" s="692"/>
      <c r="CM235" s="692"/>
      <c r="CN235" s="692"/>
      <c r="CO235" s="692"/>
      <c r="CP235" s="692"/>
      <c r="CQ235" s="692"/>
      <c r="CR235" s="692"/>
      <c r="CS235" s="692"/>
      <c r="CT235" s="692"/>
      <c r="CU235" s="692"/>
      <c r="CV235" s="692"/>
      <c r="CW235" s="692"/>
      <c r="CX235" s="692"/>
      <c r="CY235" s="692"/>
      <c r="CZ235" s="692"/>
      <c r="DA235" s="692"/>
      <c r="DB235" s="692"/>
      <c r="DC235" s="692"/>
      <c r="DD235" s="692"/>
      <c r="DE235" s="692"/>
      <c r="DF235" s="692"/>
      <c r="DG235" s="692"/>
      <c r="DH235" s="692"/>
      <c r="DI235" s="692"/>
      <c r="DJ235" s="692"/>
      <c r="DK235" s="692"/>
      <c r="DL235" s="692"/>
      <c r="DM235" s="692"/>
      <c r="DN235" s="692"/>
      <c r="DO235" s="692"/>
      <c r="DP235" s="692"/>
      <c r="DQ235" s="692"/>
      <c r="DR235" s="692"/>
      <c r="DS235" s="692"/>
      <c r="DT235" s="692"/>
      <c r="DU235" s="692"/>
      <c r="DV235" s="692"/>
      <c r="DW235" s="692"/>
      <c r="DX235" s="692"/>
      <c r="DY235" s="692"/>
      <c r="DZ235" s="692"/>
      <c r="EA235" s="692"/>
      <c r="EB235" s="692"/>
      <c r="EC235" s="692"/>
      <c r="ED235" s="692"/>
      <c r="EE235" s="692"/>
      <c r="EF235" s="692"/>
      <c r="EG235" s="692"/>
      <c r="EH235" s="692"/>
      <c r="EI235" s="692"/>
      <c r="EJ235" s="692"/>
      <c r="EK235" s="692"/>
      <c r="EL235" s="692"/>
      <c r="EM235" s="692"/>
      <c r="EN235" s="692"/>
      <c r="EO235" s="692"/>
      <c r="EP235" s="692"/>
      <c r="EQ235" s="692"/>
      <c r="ER235" s="692"/>
      <c r="ES235" s="692"/>
      <c r="ET235" s="692"/>
      <c r="EU235" s="692"/>
      <c r="EV235" s="692"/>
      <c r="EW235" s="692"/>
      <c r="EX235" s="692"/>
      <c r="EY235" s="692"/>
      <c r="EZ235" s="692"/>
      <c r="FA235" s="692"/>
      <c r="FB235" s="692"/>
      <c r="FC235" s="692"/>
      <c r="FD235" s="692"/>
      <c r="FE235" s="692"/>
      <c r="FF235" s="692"/>
      <c r="FG235" s="692"/>
      <c r="FH235" s="692"/>
      <c r="FI235" s="692"/>
      <c r="FJ235" s="692"/>
      <c r="FK235" s="692"/>
      <c r="FL235" s="692"/>
      <c r="FM235" s="692"/>
      <c r="FN235" s="692"/>
      <c r="FO235" s="692"/>
      <c r="FP235" s="692"/>
      <c r="FQ235" s="692"/>
      <c r="FR235" s="692"/>
      <c r="FS235" s="692"/>
      <c r="FT235" s="692"/>
      <c r="FU235" s="692"/>
      <c r="FV235" s="692"/>
      <c r="FW235" s="692"/>
      <c r="FX235" s="692"/>
      <c r="FY235" s="692"/>
      <c r="FZ235" s="692"/>
      <c r="GA235" s="692"/>
      <c r="GB235" s="692"/>
      <c r="GC235" s="692"/>
      <c r="GD235" s="692"/>
      <c r="GE235" s="692"/>
      <c r="GF235" s="692"/>
      <c r="GG235" s="692"/>
      <c r="GH235" s="692"/>
      <c r="GI235" s="692"/>
      <c r="GJ235" s="692"/>
      <c r="GK235" s="692"/>
      <c r="GL235" s="692"/>
      <c r="GM235" s="692"/>
      <c r="GN235" s="692"/>
      <c r="GO235" s="692"/>
      <c r="GP235" s="692"/>
      <c r="GQ235" s="692"/>
      <c r="GR235" s="692"/>
      <c r="GS235" s="692"/>
      <c r="GT235" s="692"/>
      <c r="GU235" s="692"/>
      <c r="GV235" s="692"/>
      <c r="GW235" s="692"/>
      <c r="GX235" s="692"/>
      <c r="GY235" s="692"/>
      <c r="GZ235" s="692"/>
      <c r="HA235" s="692"/>
      <c r="HB235" s="692"/>
      <c r="HC235" s="692"/>
      <c r="HD235" s="692"/>
      <c r="HE235" s="692"/>
      <c r="HF235" s="692"/>
      <c r="HG235" s="692"/>
      <c r="HH235" s="692"/>
      <c r="HI235" s="692"/>
      <c r="HJ235" s="692"/>
      <c r="HK235" s="692"/>
      <c r="HL235" s="692"/>
      <c r="HM235" s="692"/>
      <c r="HN235" s="692"/>
      <c r="HO235" s="692"/>
      <c r="HP235" s="692"/>
      <c r="HQ235" s="692"/>
      <c r="HR235" s="692"/>
      <c r="HS235" s="692"/>
      <c r="HT235" s="692"/>
      <c r="HU235" s="692"/>
      <c r="HV235" s="692"/>
      <c r="HW235" s="692"/>
      <c r="HX235" s="692"/>
      <c r="HY235" s="692"/>
      <c r="HZ235" s="692"/>
      <c r="IA235" s="692"/>
      <c r="IB235" s="692"/>
      <c r="IC235" s="692"/>
      <c r="ID235" s="692"/>
      <c r="IE235" s="692"/>
      <c r="IF235" s="692"/>
      <c r="IG235" s="692"/>
      <c r="IH235" s="692"/>
      <c r="II235" s="692"/>
      <c r="IJ235" s="692"/>
      <c r="IK235" s="692"/>
      <c r="IL235" s="692"/>
      <c r="IM235" s="692"/>
      <c r="IN235" s="692"/>
      <c r="IO235" s="692"/>
      <c r="IP235" s="692"/>
      <c r="IQ235" s="692"/>
      <c r="IR235" s="692"/>
      <c r="IS235" s="692"/>
      <c r="IT235" s="692"/>
      <c r="IU235" s="692"/>
      <c r="IV235" s="692"/>
      <c r="IW235" s="692"/>
      <c r="IX235" s="692"/>
      <c r="IY235" s="692"/>
      <c r="IZ235" s="692"/>
      <c r="JA235" s="692"/>
      <c r="JB235" s="692"/>
      <c r="JC235" s="692"/>
      <c r="JD235" s="692"/>
      <c r="JE235" s="692"/>
      <c r="JF235" s="692"/>
      <c r="JG235" s="692"/>
      <c r="JH235" s="692"/>
      <c r="JI235" s="692"/>
      <c r="JJ235" s="692"/>
      <c r="JK235" s="692"/>
      <c r="JL235" s="692"/>
      <c r="JM235" s="692"/>
      <c r="JN235" s="692"/>
      <c r="JO235" s="692"/>
      <c r="JP235" s="692"/>
      <c r="JQ235" s="692"/>
      <c r="JR235" s="692"/>
      <c r="JS235" s="692"/>
      <c r="JT235" s="692"/>
      <c r="JU235" s="692"/>
      <c r="JV235" s="692"/>
      <c r="JW235" s="692"/>
      <c r="JX235" s="692"/>
      <c r="JY235" s="692"/>
      <c r="JZ235" s="692"/>
      <c r="KA235" s="692"/>
      <c r="KB235" s="692"/>
      <c r="KC235" s="692"/>
      <c r="KD235" s="692"/>
      <c r="KE235" s="692"/>
      <c r="KF235" s="692"/>
      <c r="KG235" s="692"/>
      <c r="KH235" s="692"/>
      <c r="KI235" s="692"/>
      <c r="KJ235" s="692"/>
      <c r="KK235" s="692"/>
      <c r="KL235" s="692"/>
      <c r="KM235" s="692"/>
      <c r="KN235" s="692"/>
      <c r="KO235" s="692"/>
      <c r="KP235" s="692"/>
      <c r="KQ235" s="692"/>
      <c r="KR235" s="692"/>
      <c r="KS235" s="692"/>
      <c r="KT235" s="692"/>
      <c r="KU235" s="692"/>
      <c r="KV235" s="692"/>
      <c r="KW235" s="692"/>
      <c r="KX235" s="692"/>
      <c r="KY235" s="692"/>
      <c r="KZ235" s="692"/>
      <c r="LA235" s="692"/>
      <c r="LB235" s="692"/>
      <c r="LC235" s="692"/>
      <c r="LD235" s="692"/>
      <c r="LE235" s="692"/>
      <c r="LF235" s="692"/>
      <c r="LG235" s="692"/>
      <c r="LH235" s="692"/>
      <c r="LI235" s="692"/>
      <c r="LJ235" s="692"/>
      <c r="LK235" s="692"/>
      <c r="LL235" s="692"/>
      <c r="LM235" s="692"/>
      <c r="LN235" s="692"/>
      <c r="LO235" s="692"/>
      <c r="LP235" s="692"/>
      <c r="LQ235" s="692"/>
      <c r="LR235" s="692"/>
      <c r="LS235" s="692"/>
      <c r="LT235" s="692"/>
      <c r="LU235" s="692"/>
      <c r="LV235" s="692"/>
      <c r="LW235" s="692"/>
      <c r="LX235" s="692"/>
      <c r="LY235" s="692"/>
      <c r="LZ235" s="692"/>
      <c r="MA235" s="692"/>
      <c r="MB235" s="692"/>
      <c r="MC235" s="692"/>
      <c r="MD235" s="692"/>
      <c r="ME235" s="692"/>
      <c r="MF235" s="692"/>
      <c r="MG235" s="692"/>
      <c r="MH235" s="692"/>
      <c r="MI235" s="692"/>
      <c r="MJ235" s="692"/>
      <c r="MK235" s="692"/>
      <c r="ML235" s="692"/>
      <c r="MM235" s="692"/>
      <c r="MN235" s="692"/>
      <c r="MO235" s="692"/>
      <c r="MP235" s="692"/>
      <c r="MQ235" s="692"/>
      <c r="MR235" s="692"/>
      <c r="MS235" s="692"/>
      <c r="MT235" s="692"/>
      <c r="MU235" s="692"/>
      <c r="MV235" s="692"/>
      <c r="MW235" s="692"/>
      <c r="MX235" s="692"/>
      <c r="MY235" s="692"/>
      <c r="MZ235" s="692"/>
      <c r="NA235" s="692"/>
      <c r="NB235" s="692"/>
      <c r="NC235" s="692"/>
      <c r="ND235" s="692"/>
      <c r="NE235" s="692"/>
      <c r="NF235" s="692"/>
      <c r="NG235" s="692"/>
      <c r="NH235" s="692"/>
      <c r="NI235" s="692"/>
      <c r="NJ235" s="692"/>
      <c r="NK235" s="692"/>
      <c r="NL235" s="692"/>
      <c r="NM235" s="692"/>
      <c r="NN235" s="692"/>
      <c r="NO235" s="692"/>
      <c r="NP235" s="692"/>
      <c r="NQ235" s="692"/>
      <c r="NR235" s="692"/>
    </row>
    <row r="236" spans="1:382" ht="15.75" thickBot="1" x14ac:dyDescent="0.3">
      <c r="A236" s="679"/>
      <c r="B236" s="47" t="s">
        <v>1321</v>
      </c>
      <c r="C236" s="696">
        <f>'Input Data'!E15</f>
        <v>0</v>
      </c>
      <c r="D236" s="680" t="s">
        <v>367</v>
      </c>
      <c r="E236" s="47"/>
      <c r="F236" s="217"/>
      <c r="G236" s="692"/>
      <c r="H236" s="692"/>
      <c r="I236" s="692"/>
      <c r="J236" s="692"/>
      <c r="K236" s="692"/>
      <c r="L236" s="692"/>
      <c r="M236" s="692"/>
      <c r="N236" s="692"/>
      <c r="O236" s="692"/>
      <c r="P236" s="692"/>
      <c r="Q236" s="692"/>
      <c r="R236" s="692"/>
      <c r="S236" s="692"/>
      <c r="T236" s="692"/>
      <c r="U236" s="692"/>
      <c r="V236" s="692"/>
      <c r="W236" s="692"/>
      <c r="X236" s="692"/>
      <c r="Y236" s="692"/>
      <c r="Z236" s="692"/>
      <c r="AA236" s="692"/>
      <c r="AB236" s="692"/>
      <c r="AC236" s="692"/>
      <c r="AD236" s="692"/>
      <c r="AE236" s="692"/>
      <c r="AF236" s="692"/>
      <c r="AG236" s="692"/>
      <c r="AH236" s="692"/>
      <c r="AI236" s="692"/>
      <c r="AJ236" s="692"/>
      <c r="AK236" s="692"/>
      <c r="AL236" s="692"/>
      <c r="AM236" s="692"/>
      <c r="AN236" s="692"/>
      <c r="AO236" s="692"/>
      <c r="AP236" s="692"/>
      <c r="AQ236" s="692"/>
      <c r="AR236" s="692"/>
      <c r="AS236" s="692"/>
      <c r="AT236" s="692"/>
      <c r="AU236" s="692"/>
      <c r="AV236" s="692"/>
      <c r="AW236" s="692"/>
      <c r="AX236" s="692"/>
      <c r="AY236" s="692"/>
      <c r="AZ236" s="692"/>
      <c r="BA236" s="692"/>
      <c r="BB236" s="692"/>
      <c r="BC236" s="692"/>
      <c r="BD236" s="692"/>
      <c r="BE236" s="692"/>
      <c r="BF236" s="692"/>
      <c r="BG236" s="692"/>
      <c r="BH236" s="692"/>
      <c r="BI236" s="692"/>
      <c r="BJ236" s="692"/>
      <c r="BK236" s="692"/>
      <c r="BL236" s="692"/>
      <c r="BM236" s="692"/>
      <c r="BN236" s="692"/>
      <c r="BO236" s="692"/>
      <c r="BP236" s="692"/>
      <c r="BQ236" s="692"/>
      <c r="BR236" s="692"/>
      <c r="BS236" s="692"/>
      <c r="BT236" s="692"/>
      <c r="BU236" s="692"/>
      <c r="BV236" s="692"/>
      <c r="BW236" s="692"/>
      <c r="BX236" s="692"/>
      <c r="BY236" s="692"/>
      <c r="BZ236" s="692"/>
      <c r="CA236" s="692"/>
      <c r="CB236" s="692"/>
      <c r="CC236" s="692"/>
      <c r="CD236" s="692"/>
      <c r="CE236" s="692"/>
      <c r="CF236" s="692"/>
      <c r="CG236" s="692"/>
      <c r="CH236" s="692"/>
      <c r="CI236" s="692"/>
      <c r="CJ236" s="692"/>
      <c r="CK236" s="692"/>
      <c r="CL236" s="692"/>
      <c r="CM236" s="692"/>
      <c r="CN236" s="692"/>
      <c r="CO236" s="692"/>
      <c r="CP236" s="692"/>
      <c r="CQ236" s="692"/>
      <c r="CR236" s="692"/>
      <c r="CS236" s="692"/>
      <c r="CT236" s="692"/>
      <c r="CU236" s="692"/>
      <c r="CV236" s="692"/>
      <c r="CW236" s="692"/>
      <c r="CX236" s="692"/>
      <c r="CY236" s="692"/>
      <c r="CZ236" s="692"/>
      <c r="DA236" s="692"/>
      <c r="DB236" s="692"/>
      <c r="DC236" s="692"/>
      <c r="DD236" s="692"/>
      <c r="DE236" s="692"/>
      <c r="DF236" s="692"/>
      <c r="DG236" s="692"/>
      <c r="DH236" s="692"/>
      <c r="DI236" s="692"/>
      <c r="DJ236" s="692"/>
      <c r="DK236" s="692"/>
      <c r="DL236" s="692"/>
      <c r="DM236" s="692"/>
      <c r="DN236" s="692"/>
      <c r="DO236" s="692"/>
      <c r="DP236" s="692"/>
      <c r="DQ236" s="692"/>
      <c r="DR236" s="692"/>
      <c r="DS236" s="692"/>
      <c r="DT236" s="692"/>
      <c r="DU236" s="692"/>
      <c r="DV236" s="692"/>
      <c r="DW236" s="692"/>
      <c r="DX236" s="692"/>
      <c r="DY236" s="692"/>
      <c r="DZ236" s="692"/>
      <c r="EA236" s="692"/>
      <c r="EB236" s="692"/>
      <c r="EC236" s="692"/>
      <c r="ED236" s="692"/>
      <c r="EE236" s="692"/>
      <c r="EF236" s="692"/>
      <c r="EG236" s="692"/>
      <c r="EH236" s="692"/>
      <c r="EI236" s="692"/>
      <c r="EJ236" s="692"/>
      <c r="EK236" s="692"/>
      <c r="EL236" s="692"/>
      <c r="EM236" s="692"/>
      <c r="EN236" s="692"/>
      <c r="EO236" s="692"/>
      <c r="EP236" s="692"/>
      <c r="EQ236" s="692"/>
      <c r="ER236" s="692"/>
      <c r="ES236" s="692"/>
      <c r="ET236" s="692"/>
      <c r="EU236" s="692"/>
      <c r="EV236" s="692"/>
      <c r="EW236" s="692"/>
      <c r="EX236" s="692"/>
      <c r="EY236" s="692"/>
      <c r="EZ236" s="692"/>
      <c r="FA236" s="692"/>
      <c r="FB236" s="692"/>
      <c r="FC236" s="692"/>
      <c r="FD236" s="692"/>
      <c r="FE236" s="692"/>
      <c r="FF236" s="692"/>
      <c r="FG236" s="692"/>
      <c r="FH236" s="692"/>
      <c r="FI236" s="692"/>
      <c r="FJ236" s="692"/>
      <c r="FK236" s="692"/>
      <c r="FL236" s="692"/>
      <c r="FM236" s="692"/>
      <c r="FN236" s="692"/>
      <c r="FO236" s="692"/>
      <c r="FP236" s="692"/>
      <c r="FQ236" s="692"/>
      <c r="FR236" s="692"/>
      <c r="FS236" s="692"/>
      <c r="FT236" s="692"/>
      <c r="FU236" s="692"/>
      <c r="FV236" s="692"/>
      <c r="FW236" s="692"/>
      <c r="FX236" s="692"/>
      <c r="FY236" s="692"/>
      <c r="FZ236" s="692"/>
      <c r="GA236" s="692"/>
      <c r="GB236" s="692"/>
      <c r="GC236" s="692"/>
      <c r="GD236" s="692"/>
      <c r="GE236" s="692"/>
      <c r="GF236" s="692"/>
      <c r="GG236" s="692"/>
      <c r="GH236" s="692"/>
      <c r="GI236" s="692"/>
      <c r="GJ236" s="692"/>
      <c r="GK236" s="692"/>
      <c r="GL236" s="692"/>
      <c r="GM236" s="692"/>
      <c r="GN236" s="692"/>
      <c r="GO236" s="692"/>
      <c r="GP236" s="692"/>
      <c r="GQ236" s="692"/>
      <c r="GR236" s="692"/>
      <c r="GS236" s="692"/>
      <c r="GT236" s="692"/>
      <c r="GU236" s="692"/>
      <c r="GV236" s="692"/>
      <c r="GW236" s="692"/>
      <c r="GX236" s="692"/>
      <c r="GY236" s="692"/>
      <c r="GZ236" s="692"/>
      <c r="HA236" s="692"/>
      <c r="HB236" s="692"/>
      <c r="HC236" s="692"/>
      <c r="HD236" s="692"/>
      <c r="HE236" s="692"/>
      <c r="HF236" s="692"/>
      <c r="HG236" s="692"/>
      <c r="HH236" s="692"/>
      <c r="HI236" s="692"/>
      <c r="HJ236" s="692"/>
      <c r="HK236" s="692"/>
      <c r="HL236" s="692"/>
      <c r="HM236" s="692"/>
      <c r="HN236" s="692"/>
      <c r="HO236" s="692"/>
      <c r="HP236" s="692"/>
      <c r="HQ236" s="692"/>
      <c r="HR236" s="692"/>
      <c r="HS236" s="692"/>
      <c r="HT236" s="692"/>
      <c r="HU236" s="692"/>
      <c r="HV236" s="692"/>
      <c r="HW236" s="692"/>
      <c r="HX236" s="692"/>
      <c r="HY236" s="692"/>
      <c r="HZ236" s="692"/>
      <c r="IA236" s="692"/>
      <c r="IB236" s="692"/>
      <c r="IC236" s="692"/>
      <c r="ID236" s="692"/>
      <c r="IE236" s="692"/>
      <c r="IF236" s="692"/>
      <c r="IG236" s="692"/>
      <c r="IH236" s="692"/>
      <c r="II236" s="692"/>
      <c r="IJ236" s="692"/>
      <c r="IK236" s="692"/>
      <c r="IL236" s="692"/>
      <c r="IM236" s="692"/>
      <c r="IN236" s="692"/>
      <c r="IO236" s="692"/>
      <c r="IP236" s="692"/>
      <c r="IQ236" s="692"/>
      <c r="IR236" s="692"/>
      <c r="IS236" s="692"/>
      <c r="IT236" s="692"/>
      <c r="IU236" s="692"/>
      <c r="IV236" s="692"/>
      <c r="IW236" s="692"/>
      <c r="IX236" s="692"/>
      <c r="IY236" s="692"/>
      <c r="IZ236" s="692"/>
      <c r="JA236" s="692"/>
      <c r="JB236" s="692"/>
      <c r="JC236" s="692"/>
      <c r="JD236" s="692"/>
      <c r="JE236" s="692"/>
      <c r="JF236" s="692"/>
      <c r="JG236" s="692"/>
      <c r="JH236" s="692"/>
      <c r="JI236" s="692"/>
      <c r="JJ236" s="692"/>
      <c r="JK236" s="692"/>
      <c r="JL236" s="692"/>
      <c r="JM236" s="692"/>
      <c r="JN236" s="692"/>
      <c r="JO236" s="692"/>
      <c r="JP236" s="692"/>
      <c r="JQ236" s="692"/>
      <c r="JR236" s="692"/>
      <c r="JS236" s="692"/>
      <c r="JT236" s="692"/>
      <c r="JU236" s="692"/>
      <c r="JV236" s="692"/>
      <c r="JW236" s="692"/>
      <c r="JX236" s="692"/>
      <c r="JY236" s="692"/>
      <c r="JZ236" s="692"/>
      <c r="KA236" s="692"/>
      <c r="KB236" s="692"/>
      <c r="KC236" s="692"/>
      <c r="KD236" s="692"/>
      <c r="KE236" s="692"/>
      <c r="KF236" s="692"/>
      <c r="KG236" s="692"/>
      <c r="KH236" s="692"/>
      <c r="KI236" s="692"/>
      <c r="KJ236" s="692"/>
      <c r="KK236" s="692"/>
      <c r="KL236" s="692"/>
      <c r="KM236" s="692"/>
      <c r="KN236" s="692"/>
      <c r="KO236" s="692"/>
      <c r="KP236" s="692"/>
      <c r="KQ236" s="692"/>
      <c r="KR236" s="692"/>
      <c r="KS236" s="692"/>
      <c r="KT236" s="692"/>
      <c r="KU236" s="692"/>
      <c r="KV236" s="692"/>
      <c r="KW236" s="692"/>
      <c r="KX236" s="692"/>
      <c r="KY236" s="692"/>
      <c r="KZ236" s="692"/>
      <c r="LA236" s="692"/>
      <c r="LB236" s="692"/>
      <c r="LC236" s="692"/>
      <c r="LD236" s="692"/>
      <c r="LE236" s="692"/>
      <c r="LF236" s="692"/>
      <c r="LG236" s="692"/>
      <c r="LH236" s="692"/>
      <c r="LI236" s="692"/>
      <c r="LJ236" s="692"/>
      <c r="LK236" s="692"/>
      <c r="LL236" s="692"/>
      <c r="LM236" s="692"/>
      <c r="LN236" s="692"/>
      <c r="LO236" s="692"/>
      <c r="LP236" s="692"/>
      <c r="LQ236" s="692"/>
      <c r="LR236" s="692"/>
      <c r="LS236" s="692"/>
      <c r="LT236" s="692"/>
      <c r="LU236" s="692"/>
      <c r="LV236" s="692"/>
      <c r="LW236" s="692"/>
      <c r="LX236" s="692"/>
      <c r="LY236" s="692"/>
      <c r="LZ236" s="692"/>
      <c r="MA236" s="692"/>
      <c r="MB236" s="692"/>
      <c r="MC236" s="692"/>
      <c r="MD236" s="692"/>
      <c r="ME236" s="692"/>
      <c r="MF236" s="692"/>
      <c r="MG236" s="692"/>
      <c r="MH236" s="692"/>
      <c r="MI236" s="692"/>
      <c r="MJ236" s="692"/>
      <c r="MK236" s="692"/>
      <c r="ML236" s="692"/>
      <c r="MM236" s="692"/>
      <c r="MN236" s="692"/>
      <c r="MO236" s="692"/>
      <c r="MP236" s="692"/>
      <c r="MQ236" s="692"/>
      <c r="MR236" s="692"/>
      <c r="MS236" s="692"/>
      <c r="MT236" s="692"/>
      <c r="MU236" s="692"/>
      <c r="MV236" s="692"/>
      <c r="MW236" s="692"/>
      <c r="MX236" s="692"/>
      <c r="MY236" s="692"/>
      <c r="MZ236" s="692"/>
      <c r="NA236" s="692"/>
      <c r="NB236" s="692"/>
      <c r="NC236" s="692"/>
      <c r="ND236" s="692"/>
      <c r="NE236" s="692"/>
      <c r="NF236" s="692"/>
      <c r="NG236" s="692"/>
      <c r="NH236" s="692"/>
      <c r="NI236" s="692"/>
      <c r="NJ236" s="692"/>
      <c r="NK236" s="692"/>
      <c r="NL236" s="692"/>
      <c r="NM236" s="692"/>
      <c r="NN236" s="692"/>
      <c r="NO236" s="692"/>
      <c r="NP236" s="692"/>
      <c r="NQ236" s="692"/>
      <c r="NR236" s="692"/>
    </row>
    <row r="237" spans="1:382" ht="15.75" thickBot="1" x14ac:dyDescent="0.3">
      <c r="A237" s="679"/>
      <c r="B237" s="189" t="s">
        <v>1699</v>
      </c>
      <c r="C237" s="697">
        <f>C235*C236</f>
        <v>0</v>
      </c>
      <c r="D237" s="680" t="s">
        <v>1575</v>
      </c>
      <c r="E237" s="47"/>
      <c r="F237" s="217"/>
      <c r="G237" s="692"/>
      <c r="H237" s="692"/>
      <c r="I237" s="692"/>
      <c r="J237" s="692"/>
      <c r="K237" s="692"/>
      <c r="L237" s="692"/>
      <c r="M237" s="692"/>
      <c r="N237" s="692"/>
      <c r="O237" s="692"/>
      <c r="P237" s="692"/>
      <c r="Q237" s="692"/>
      <c r="R237" s="692"/>
      <c r="S237" s="692"/>
      <c r="T237" s="692"/>
      <c r="U237" s="692"/>
      <c r="V237" s="692"/>
      <c r="W237" s="692"/>
      <c r="X237" s="692"/>
      <c r="Y237" s="692"/>
      <c r="Z237" s="692"/>
      <c r="AA237" s="692"/>
      <c r="AB237" s="692"/>
      <c r="AC237" s="692"/>
      <c r="AD237" s="692"/>
      <c r="AE237" s="692"/>
      <c r="AF237" s="692"/>
      <c r="AG237" s="692"/>
      <c r="AH237" s="692"/>
      <c r="AI237" s="692"/>
      <c r="AJ237" s="692"/>
      <c r="AK237" s="692"/>
      <c r="AL237" s="692"/>
      <c r="AM237" s="692"/>
      <c r="AN237" s="692"/>
      <c r="AO237" s="692"/>
      <c r="AP237" s="692"/>
      <c r="AQ237" s="692"/>
      <c r="AR237" s="692"/>
      <c r="AS237" s="692"/>
      <c r="AT237" s="692"/>
      <c r="AU237" s="692"/>
      <c r="AV237" s="692"/>
      <c r="AW237" s="692"/>
      <c r="AX237" s="692"/>
      <c r="AY237" s="692"/>
      <c r="AZ237" s="692"/>
      <c r="BA237" s="692"/>
      <c r="BB237" s="692"/>
      <c r="BC237" s="692"/>
      <c r="BD237" s="692"/>
      <c r="BE237" s="692"/>
      <c r="BF237" s="692"/>
      <c r="BG237" s="692"/>
      <c r="BH237" s="692"/>
      <c r="BI237" s="692"/>
      <c r="BJ237" s="692"/>
      <c r="BK237" s="692"/>
      <c r="BL237" s="692"/>
      <c r="BM237" s="692"/>
      <c r="BN237" s="692"/>
      <c r="BO237" s="692"/>
      <c r="BP237" s="692"/>
      <c r="BQ237" s="692"/>
      <c r="BR237" s="692"/>
      <c r="BS237" s="692"/>
      <c r="BT237" s="692"/>
      <c r="BU237" s="692"/>
      <c r="BV237" s="692"/>
      <c r="BW237" s="692"/>
      <c r="BX237" s="692"/>
      <c r="BY237" s="692"/>
      <c r="BZ237" s="692"/>
      <c r="CA237" s="692"/>
      <c r="CB237" s="692"/>
      <c r="CC237" s="692"/>
      <c r="CD237" s="692"/>
      <c r="CE237" s="692"/>
      <c r="CF237" s="692"/>
      <c r="CG237" s="692"/>
      <c r="CH237" s="692"/>
      <c r="CI237" s="692"/>
      <c r="CJ237" s="692"/>
      <c r="CK237" s="692"/>
      <c r="CL237" s="692"/>
      <c r="CM237" s="692"/>
      <c r="CN237" s="692"/>
      <c r="CO237" s="692"/>
      <c r="CP237" s="692"/>
      <c r="CQ237" s="692"/>
      <c r="CR237" s="692"/>
      <c r="CS237" s="692"/>
      <c r="CT237" s="692"/>
      <c r="CU237" s="692"/>
      <c r="CV237" s="692"/>
      <c r="CW237" s="692"/>
      <c r="CX237" s="692"/>
      <c r="CY237" s="692"/>
      <c r="CZ237" s="692"/>
      <c r="DA237" s="692"/>
      <c r="DB237" s="692"/>
      <c r="DC237" s="692"/>
      <c r="DD237" s="692"/>
      <c r="DE237" s="692"/>
      <c r="DF237" s="692"/>
      <c r="DG237" s="692"/>
      <c r="DH237" s="692"/>
      <c r="DI237" s="692"/>
      <c r="DJ237" s="692"/>
      <c r="DK237" s="692"/>
      <c r="DL237" s="692"/>
      <c r="DM237" s="692"/>
      <c r="DN237" s="692"/>
      <c r="DO237" s="692"/>
      <c r="DP237" s="692"/>
      <c r="DQ237" s="692"/>
      <c r="DR237" s="692"/>
      <c r="DS237" s="692"/>
      <c r="DT237" s="692"/>
      <c r="DU237" s="692"/>
      <c r="DV237" s="692"/>
      <c r="DW237" s="692"/>
      <c r="DX237" s="692"/>
      <c r="DY237" s="692"/>
      <c r="DZ237" s="692"/>
      <c r="EA237" s="692"/>
      <c r="EB237" s="692"/>
      <c r="EC237" s="692"/>
      <c r="ED237" s="692"/>
      <c r="EE237" s="692"/>
      <c r="EF237" s="692"/>
      <c r="EG237" s="692"/>
      <c r="EH237" s="692"/>
      <c r="EI237" s="692"/>
      <c r="EJ237" s="692"/>
      <c r="EK237" s="692"/>
      <c r="EL237" s="692"/>
      <c r="EM237" s="692"/>
      <c r="EN237" s="692"/>
      <c r="EO237" s="692"/>
      <c r="EP237" s="692"/>
      <c r="EQ237" s="692"/>
      <c r="ER237" s="692"/>
      <c r="ES237" s="692"/>
      <c r="ET237" s="692"/>
      <c r="EU237" s="692"/>
      <c r="EV237" s="692"/>
      <c r="EW237" s="692"/>
      <c r="EX237" s="692"/>
      <c r="EY237" s="692"/>
      <c r="EZ237" s="692"/>
      <c r="FA237" s="692"/>
      <c r="FB237" s="692"/>
      <c r="FC237" s="692"/>
      <c r="FD237" s="692"/>
      <c r="FE237" s="692"/>
      <c r="FF237" s="692"/>
      <c r="FG237" s="692"/>
      <c r="FH237" s="692"/>
      <c r="FI237" s="692"/>
      <c r="FJ237" s="692"/>
      <c r="FK237" s="692"/>
      <c r="FL237" s="692"/>
      <c r="FM237" s="692"/>
      <c r="FN237" s="692"/>
      <c r="FO237" s="692"/>
      <c r="FP237" s="692"/>
      <c r="FQ237" s="692"/>
      <c r="FR237" s="692"/>
      <c r="FS237" s="692"/>
      <c r="FT237" s="692"/>
      <c r="FU237" s="692"/>
      <c r="FV237" s="692"/>
      <c r="FW237" s="692"/>
      <c r="FX237" s="692"/>
      <c r="FY237" s="692"/>
      <c r="FZ237" s="692"/>
      <c r="GA237" s="692"/>
      <c r="GB237" s="692"/>
      <c r="GC237" s="692"/>
      <c r="GD237" s="692"/>
      <c r="GE237" s="692"/>
      <c r="GF237" s="692"/>
      <c r="GG237" s="692"/>
      <c r="GH237" s="692"/>
      <c r="GI237" s="692"/>
      <c r="GJ237" s="692"/>
      <c r="GK237" s="692"/>
      <c r="GL237" s="692"/>
      <c r="GM237" s="692"/>
      <c r="GN237" s="692"/>
      <c r="GO237" s="692"/>
      <c r="GP237" s="692"/>
      <c r="GQ237" s="692"/>
      <c r="GR237" s="692"/>
      <c r="GS237" s="692"/>
      <c r="GT237" s="692"/>
      <c r="GU237" s="692"/>
      <c r="GV237" s="692"/>
      <c r="GW237" s="692"/>
      <c r="GX237" s="692"/>
      <c r="GY237" s="692"/>
      <c r="GZ237" s="692"/>
      <c r="HA237" s="692"/>
      <c r="HB237" s="692"/>
      <c r="HC237" s="692"/>
      <c r="HD237" s="692"/>
      <c r="HE237" s="692"/>
      <c r="HF237" s="692"/>
      <c r="HG237" s="692"/>
      <c r="HH237" s="692"/>
      <c r="HI237" s="692"/>
      <c r="HJ237" s="692"/>
      <c r="HK237" s="692"/>
      <c r="HL237" s="692"/>
      <c r="HM237" s="692"/>
      <c r="HN237" s="692"/>
      <c r="HO237" s="692"/>
      <c r="HP237" s="692"/>
      <c r="HQ237" s="692"/>
      <c r="HR237" s="692"/>
      <c r="HS237" s="692"/>
      <c r="HT237" s="692"/>
      <c r="HU237" s="692"/>
      <c r="HV237" s="692"/>
      <c r="HW237" s="692"/>
      <c r="HX237" s="692"/>
      <c r="HY237" s="692"/>
      <c r="HZ237" s="692"/>
      <c r="IA237" s="692"/>
      <c r="IB237" s="692"/>
      <c r="IC237" s="692"/>
      <c r="ID237" s="692"/>
      <c r="IE237" s="692"/>
      <c r="IF237" s="692"/>
      <c r="IG237" s="692"/>
      <c r="IH237" s="692"/>
      <c r="II237" s="692"/>
      <c r="IJ237" s="692"/>
      <c r="IK237" s="692"/>
      <c r="IL237" s="692"/>
      <c r="IM237" s="692"/>
      <c r="IN237" s="692"/>
      <c r="IO237" s="692"/>
      <c r="IP237" s="692"/>
      <c r="IQ237" s="692"/>
      <c r="IR237" s="692"/>
      <c r="IS237" s="692"/>
      <c r="IT237" s="692"/>
      <c r="IU237" s="692"/>
      <c r="IV237" s="692"/>
      <c r="IW237" s="692"/>
      <c r="IX237" s="692"/>
      <c r="IY237" s="692"/>
      <c r="IZ237" s="692"/>
      <c r="JA237" s="692"/>
      <c r="JB237" s="692"/>
      <c r="JC237" s="692"/>
      <c r="JD237" s="692"/>
      <c r="JE237" s="692"/>
      <c r="JF237" s="692"/>
      <c r="JG237" s="692"/>
      <c r="JH237" s="692"/>
      <c r="JI237" s="692"/>
      <c r="JJ237" s="692"/>
      <c r="JK237" s="692"/>
      <c r="JL237" s="692"/>
      <c r="JM237" s="692"/>
      <c r="JN237" s="692"/>
      <c r="JO237" s="692"/>
      <c r="JP237" s="692"/>
      <c r="JQ237" s="692"/>
      <c r="JR237" s="692"/>
      <c r="JS237" s="692"/>
      <c r="JT237" s="692"/>
      <c r="JU237" s="692"/>
      <c r="JV237" s="692"/>
      <c r="JW237" s="692"/>
      <c r="JX237" s="692"/>
      <c r="JY237" s="692"/>
      <c r="JZ237" s="692"/>
      <c r="KA237" s="692"/>
      <c r="KB237" s="692"/>
      <c r="KC237" s="692"/>
      <c r="KD237" s="692"/>
      <c r="KE237" s="692"/>
      <c r="KF237" s="692"/>
      <c r="KG237" s="692"/>
      <c r="KH237" s="692"/>
      <c r="KI237" s="692"/>
      <c r="KJ237" s="692"/>
      <c r="KK237" s="692"/>
      <c r="KL237" s="692"/>
      <c r="KM237" s="692"/>
      <c r="KN237" s="692"/>
      <c r="KO237" s="692"/>
      <c r="KP237" s="692"/>
      <c r="KQ237" s="692"/>
      <c r="KR237" s="692"/>
      <c r="KS237" s="692"/>
      <c r="KT237" s="692"/>
      <c r="KU237" s="692"/>
      <c r="KV237" s="692"/>
      <c r="KW237" s="692"/>
      <c r="KX237" s="692"/>
      <c r="KY237" s="692"/>
      <c r="KZ237" s="692"/>
      <c r="LA237" s="692"/>
      <c r="LB237" s="692"/>
      <c r="LC237" s="692"/>
      <c r="LD237" s="692"/>
      <c r="LE237" s="692"/>
      <c r="LF237" s="692"/>
      <c r="LG237" s="692"/>
      <c r="LH237" s="692"/>
      <c r="LI237" s="692"/>
      <c r="LJ237" s="692"/>
      <c r="LK237" s="692"/>
      <c r="LL237" s="692"/>
      <c r="LM237" s="692"/>
      <c r="LN237" s="692"/>
      <c r="LO237" s="692"/>
      <c r="LP237" s="692"/>
      <c r="LQ237" s="692"/>
      <c r="LR237" s="692"/>
      <c r="LS237" s="692"/>
      <c r="LT237" s="692"/>
      <c r="LU237" s="692"/>
      <c r="LV237" s="692"/>
      <c r="LW237" s="692"/>
      <c r="LX237" s="692"/>
      <c r="LY237" s="692"/>
      <c r="LZ237" s="692"/>
      <c r="MA237" s="692"/>
      <c r="MB237" s="692"/>
      <c r="MC237" s="692"/>
      <c r="MD237" s="692"/>
      <c r="ME237" s="692"/>
      <c r="MF237" s="692"/>
      <c r="MG237" s="692"/>
      <c r="MH237" s="692"/>
      <c r="MI237" s="692"/>
      <c r="MJ237" s="692"/>
      <c r="MK237" s="692"/>
      <c r="ML237" s="692"/>
      <c r="MM237" s="692"/>
      <c r="MN237" s="692"/>
      <c r="MO237" s="692"/>
      <c r="MP237" s="692"/>
      <c r="MQ237" s="692"/>
      <c r="MR237" s="692"/>
      <c r="MS237" s="692"/>
      <c r="MT237" s="692"/>
      <c r="MU237" s="692"/>
      <c r="MV237" s="692"/>
      <c r="MW237" s="692"/>
      <c r="MX237" s="692"/>
      <c r="MY237" s="692"/>
      <c r="MZ237" s="692"/>
      <c r="NA237" s="692"/>
      <c r="NB237" s="692"/>
      <c r="NC237" s="692"/>
      <c r="ND237" s="692"/>
      <c r="NE237" s="692"/>
      <c r="NF237" s="692"/>
      <c r="NG237" s="692"/>
      <c r="NH237" s="692"/>
      <c r="NI237" s="692"/>
      <c r="NJ237" s="692"/>
      <c r="NK237" s="692"/>
      <c r="NL237" s="692"/>
      <c r="NM237" s="692"/>
      <c r="NN237" s="692"/>
      <c r="NO237" s="692"/>
      <c r="NP237" s="692"/>
      <c r="NQ237" s="692"/>
      <c r="NR237" s="692"/>
    </row>
    <row r="238" spans="1:382" x14ac:dyDescent="0.25">
      <c r="A238" s="47"/>
      <c r="B238" s="47"/>
      <c r="C238" s="408"/>
      <c r="D238" s="47"/>
      <c r="E238" s="36"/>
      <c r="F238" s="686"/>
      <c r="G238" s="692"/>
      <c r="H238" s="692"/>
      <c r="I238" s="692"/>
      <c r="J238" s="692"/>
      <c r="K238" s="692"/>
      <c r="L238" s="692"/>
      <c r="M238" s="692"/>
      <c r="N238" s="692"/>
      <c r="O238" s="692"/>
      <c r="P238" s="692"/>
      <c r="Q238" s="692"/>
      <c r="R238" s="692"/>
      <c r="S238" s="692"/>
      <c r="T238" s="692"/>
      <c r="U238" s="692"/>
      <c r="V238" s="692"/>
      <c r="W238" s="692"/>
      <c r="X238" s="692"/>
      <c r="Y238" s="692"/>
      <c r="Z238" s="692"/>
      <c r="AA238" s="692"/>
      <c r="AB238" s="692"/>
      <c r="AC238" s="692"/>
      <c r="AD238" s="692"/>
      <c r="AE238" s="692"/>
      <c r="AF238" s="692"/>
      <c r="AG238" s="692"/>
      <c r="AH238" s="692"/>
      <c r="AI238" s="692"/>
      <c r="AJ238" s="692"/>
      <c r="AK238" s="692"/>
      <c r="AL238" s="692"/>
      <c r="AM238" s="692"/>
      <c r="AN238" s="692"/>
      <c r="AO238" s="692"/>
      <c r="AP238" s="692"/>
      <c r="AQ238" s="692"/>
      <c r="AR238" s="692"/>
      <c r="AS238" s="692"/>
      <c r="AT238" s="692"/>
      <c r="AU238" s="692"/>
      <c r="AV238" s="692"/>
      <c r="AW238" s="692"/>
      <c r="AX238" s="692"/>
      <c r="AY238" s="692"/>
      <c r="AZ238" s="692"/>
      <c r="BA238" s="692"/>
      <c r="BB238" s="692"/>
      <c r="BC238" s="692"/>
      <c r="BD238" s="692"/>
      <c r="BE238" s="692"/>
      <c r="BF238" s="692"/>
      <c r="BG238" s="692"/>
      <c r="BH238" s="692"/>
      <c r="BI238" s="692"/>
      <c r="BJ238" s="692"/>
      <c r="BK238" s="692"/>
      <c r="BL238" s="692"/>
      <c r="BM238" s="692"/>
      <c r="BN238" s="692"/>
      <c r="BO238" s="692"/>
      <c r="BP238" s="692"/>
      <c r="BQ238" s="692"/>
      <c r="BR238" s="692"/>
      <c r="BS238" s="692"/>
      <c r="BT238" s="692"/>
      <c r="BU238" s="692"/>
      <c r="BV238" s="692"/>
      <c r="BW238" s="692"/>
      <c r="BX238" s="692"/>
      <c r="BY238" s="692"/>
      <c r="BZ238" s="692"/>
      <c r="CA238" s="692"/>
      <c r="CB238" s="692"/>
      <c r="CC238" s="692"/>
      <c r="CD238" s="692"/>
      <c r="CE238" s="692"/>
      <c r="CF238" s="692"/>
      <c r="CG238" s="692"/>
      <c r="CH238" s="692"/>
      <c r="CI238" s="692"/>
      <c r="CJ238" s="692"/>
      <c r="CK238" s="692"/>
      <c r="CL238" s="692"/>
      <c r="CM238" s="692"/>
      <c r="CN238" s="692"/>
      <c r="CO238" s="692"/>
      <c r="CP238" s="692"/>
      <c r="CQ238" s="692"/>
      <c r="CR238" s="692"/>
      <c r="CS238" s="692"/>
      <c r="CT238" s="692"/>
      <c r="CU238" s="692"/>
      <c r="CV238" s="692"/>
      <c r="CW238" s="692"/>
      <c r="CX238" s="692"/>
      <c r="CY238" s="692"/>
      <c r="CZ238" s="692"/>
      <c r="DA238" s="692"/>
      <c r="DB238" s="692"/>
      <c r="DC238" s="692"/>
      <c r="DD238" s="692"/>
      <c r="DE238" s="692"/>
      <c r="DF238" s="692"/>
      <c r="DG238" s="692"/>
      <c r="DH238" s="692"/>
      <c r="DI238" s="692"/>
      <c r="DJ238" s="692"/>
      <c r="DK238" s="692"/>
      <c r="DL238" s="692"/>
      <c r="DM238" s="692"/>
      <c r="DN238" s="692"/>
      <c r="DO238" s="692"/>
      <c r="DP238" s="692"/>
      <c r="DQ238" s="692"/>
      <c r="DR238" s="692"/>
      <c r="DS238" s="692"/>
      <c r="DT238" s="692"/>
      <c r="DU238" s="692"/>
      <c r="DV238" s="692"/>
      <c r="DW238" s="692"/>
      <c r="DX238" s="692"/>
      <c r="DY238" s="692"/>
      <c r="DZ238" s="692"/>
      <c r="EA238" s="692"/>
      <c r="EB238" s="692"/>
      <c r="EC238" s="692"/>
      <c r="ED238" s="692"/>
      <c r="EE238" s="692"/>
      <c r="EF238" s="692"/>
      <c r="EG238" s="692"/>
      <c r="EH238" s="692"/>
      <c r="EI238" s="692"/>
      <c r="EJ238" s="692"/>
      <c r="EK238" s="692"/>
      <c r="EL238" s="692"/>
      <c r="EM238" s="692"/>
      <c r="EN238" s="692"/>
      <c r="EO238" s="692"/>
      <c r="EP238" s="692"/>
      <c r="EQ238" s="692"/>
      <c r="ER238" s="692"/>
      <c r="ES238" s="692"/>
      <c r="ET238" s="692"/>
      <c r="EU238" s="692"/>
      <c r="EV238" s="692"/>
      <c r="EW238" s="692"/>
      <c r="EX238" s="692"/>
      <c r="EY238" s="692"/>
      <c r="EZ238" s="692"/>
      <c r="FA238" s="692"/>
      <c r="FB238" s="692"/>
      <c r="FC238" s="692"/>
      <c r="FD238" s="692"/>
      <c r="FE238" s="692"/>
      <c r="FF238" s="692"/>
      <c r="FG238" s="692"/>
      <c r="FH238" s="692"/>
      <c r="FI238" s="692"/>
      <c r="FJ238" s="692"/>
      <c r="FK238" s="692"/>
      <c r="FL238" s="692"/>
      <c r="FM238" s="692"/>
      <c r="FN238" s="692"/>
      <c r="FO238" s="692"/>
      <c r="FP238" s="692"/>
      <c r="FQ238" s="692"/>
      <c r="FR238" s="692"/>
      <c r="FS238" s="692"/>
      <c r="FT238" s="692"/>
      <c r="FU238" s="692"/>
      <c r="FV238" s="692"/>
      <c r="FW238" s="692"/>
      <c r="FX238" s="692"/>
      <c r="FY238" s="692"/>
      <c r="FZ238" s="692"/>
      <c r="GA238" s="692"/>
      <c r="GB238" s="692"/>
      <c r="GC238" s="692"/>
      <c r="GD238" s="692"/>
      <c r="GE238" s="692"/>
      <c r="GF238" s="692"/>
      <c r="GG238" s="692"/>
      <c r="GH238" s="692"/>
      <c r="GI238" s="692"/>
      <c r="GJ238" s="692"/>
      <c r="GK238" s="692"/>
      <c r="GL238" s="692"/>
      <c r="GM238" s="692"/>
      <c r="GN238" s="692"/>
      <c r="GO238" s="692"/>
      <c r="GP238" s="692"/>
      <c r="GQ238" s="692"/>
      <c r="GR238" s="692"/>
      <c r="GS238" s="692"/>
      <c r="GT238" s="692"/>
      <c r="GU238" s="692"/>
      <c r="GV238" s="692"/>
      <c r="GW238" s="692"/>
      <c r="GX238" s="692"/>
      <c r="GY238" s="692"/>
      <c r="GZ238" s="692"/>
      <c r="HA238" s="692"/>
      <c r="HB238" s="692"/>
      <c r="HC238" s="692"/>
      <c r="HD238" s="692"/>
      <c r="HE238" s="692"/>
      <c r="HF238" s="692"/>
      <c r="HG238" s="692"/>
      <c r="HH238" s="692"/>
      <c r="HI238" s="692"/>
      <c r="HJ238" s="692"/>
      <c r="HK238" s="692"/>
      <c r="HL238" s="692"/>
      <c r="HM238" s="692"/>
      <c r="HN238" s="692"/>
      <c r="HO238" s="692"/>
      <c r="HP238" s="692"/>
      <c r="HQ238" s="692"/>
      <c r="HR238" s="692"/>
      <c r="HS238" s="692"/>
      <c r="HT238" s="692"/>
      <c r="HU238" s="692"/>
      <c r="HV238" s="692"/>
      <c r="HW238" s="692"/>
      <c r="HX238" s="692"/>
      <c r="HY238" s="692"/>
      <c r="HZ238" s="692"/>
      <c r="IA238" s="692"/>
      <c r="IB238" s="692"/>
      <c r="IC238" s="692"/>
      <c r="ID238" s="692"/>
      <c r="IE238" s="692"/>
      <c r="IF238" s="692"/>
      <c r="IG238" s="692"/>
      <c r="IH238" s="692"/>
      <c r="II238" s="692"/>
      <c r="IJ238" s="692"/>
      <c r="IK238" s="692"/>
      <c r="IL238" s="692"/>
      <c r="IM238" s="692"/>
      <c r="IN238" s="692"/>
      <c r="IO238" s="692"/>
      <c r="IP238" s="692"/>
      <c r="IQ238" s="692"/>
      <c r="IR238" s="692"/>
      <c r="IS238" s="692"/>
      <c r="IT238" s="692"/>
      <c r="IU238" s="692"/>
      <c r="IV238" s="692"/>
      <c r="IW238" s="692"/>
      <c r="IX238" s="692"/>
      <c r="IY238" s="692"/>
      <c r="IZ238" s="692"/>
      <c r="JA238" s="692"/>
      <c r="JB238" s="692"/>
      <c r="JC238" s="692"/>
      <c r="JD238" s="692"/>
      <c r="JE238" s="692"/>
      <c r="JF238" s="692"/>
      <c r="JG238" s="692"/>
      <c r="JH238" s="692"/>
      <c r="JI238" s="692"/>
      <c r="JJ238" s="692"/>
      <c r="JK238" s="692"/>
      <c r="JL238" s="692"/>
      <c r="JM238" s="692"/>
      <c r="JN238" s="692"/>
      <c r="JO238" s="692"/>
      <c r="JP238" s="692"/>
      <c r="JQ238" s="692"/>
      <c r="JR238" s="692"/>
      <c r="JS238" s="692"/>
      <c r="JT238" s="692"/>
      <c r="JU238" s="692"/>
      <c r="JV238" s="692"/>
      <c r="JW238" s="692"/>
      <c r="JX238" s="692"/>
      <c r="JY238" s="692"/>
      <c r="JZ238" s="692"/>
      <c r="KA238" s="692"/>
      <c r="KB238" s="692"/>
      <c r="KC238" s="692"/>
      <c r="KD238" s="692"/>
      <c r="KE238" s="692"/>
      <c r="KF238" s="692"/>
      <c r="KG238" s="692"/>
      <c r="KH238" s="692"/>
      <c r="KI238" s="692"/>
      <c r="KJ238" s="692"/>
      <c r="KK238" s="692"/>
      <c r="KL238" s="692"/>
      <c r="KM238" s="692"/>
      <c r="KN238" s="692"/>
      <c r="KO238" s="692"/>
      <c r="KP238" s="692"/>
      <c r="KQ238" s="692"/>
      <c r="KR238" s="692"/>
      <c r="KS238" s="692"/>
      <c r="KT238" s="692"/>
      <c r="KU238" s="692"/>
      <c r="KV238" s="692"/>
      <c r="KW238" s="692"/>
      <c r="KX238" s="692"/>
      <c r="KY238" s="692"/>
      <c r="KZ238" s="692"/>
      <c r="LA238" s="692"/>
      <c r="LB238" s="692"/>
      <c r="LC238" s="692"/>
      <c r="LD238" s="692"/>
      <c r="LE238" s="692"/>
      <c r="LF238" s="692"/>
      <c r="LG238" s="692"/>
      <c r="LH238" s="692"/>
      <c r="LI238" s="692"/>
      <c r="LJ238" s="692"/>
      <c r="LK238" s="692"/>
      <c r="LL238" s="692"/>
      <c r="LM238" s="692"/>
      <c r="LN238" s="692"/>
      <c r="LO238" s="692"/>
      <c r="LP238" s="692"/>
      <c r="LQ238" s="692"/>
      <c r="LR238" s="692"/>
      <c r="LS238" s="692"/>
      <c r="LT238" s="692"/>
      <c r="LU238" s="692"/>
      <c r="LV238" s="692"/>
      <c r="LW238" s="692"/>
      <c r="LX238" s="692"/>
      <c r="LY238" s="692"/>
      <c r="LZ238" s="692"/>
      <c r="MA238" s="692"/>
      <c r="MB238" s="692"/>
      <c r="MC238" s="692"/>
      <c r="MD238" s="692"/>
      <c r="ME238" s="692"/>
      <c r="MF238" s="692"/>
      <c r="MG238" s="692"/>
      <c r="MH238" s="692"/>
      <c r="MI238" s="692"/>
      <c r="MJ238" s="692"/>
      <c r="MK238" s="692"/>
      <c r="ML238" s="692"/>
      <c r="MM238" s="692"/>
      <c r="MN238" s="692"/>
      <c r="MO238" s="692"/>
      <c r="MP238" s="692"/>
      <c r="MQ238" s="692"/>
      <c r="MR238" s="692"/>
      <c r="MS238" s="692"/>
      <c r="MT238" s="692"/>
      <c r="MU238" s="692"/>
      <c r="MV238" s="692"/>
      <c r="MW238" s="692"/>
      <c r="MX238" s="692"/>
      <c r="MY238" s="692"/>
      <c r="MZ238" s="692"/>
      <c r="NA238" s="692"/>
      <c r="NB238" s="692"/>
      <c r="NC238" s="692"/>
      <c r="ND238" s="692"/>
      <c r="NE238" s="692"/>
      <c r="NF238" s="692"/>
      <c r="NG238" s="692"/>
      <c r="NH238" s="692"/>
      <c r="NI238" s="692"/>
      <c r="NJ238" s="692"/>
      <c r="NK238" s="692"/>
      <c r="NL238" s="692"/>
      <c r="NM238" s="692"/>
      <c r="NN238" s="692"/>
      <c r="NO238" s="692"/>
      <c r="NP238" s="692"/>
      <c r="NQ238" s="692"/>
      <c r="NR238" s="692"/>
    </row>
    <row r="239" spans="1:382" x14ac:dyDescent="0.25">
      <c r="A239" s="47"/>
      <c r="B239" s="108" t="s">
        <v>1700</v>
      </c>
      <c r="C239" s="177">
        <f>'Conversion factors'!B9</f>
        <v>9.41</v>
      </c>
      <c r="D239" s="47" t="s">
        <v>1701</v>
      </c>
      <c r="E239" s="36"/>
      <c r="F239" s="686" t="s">
        <v>1702</v>
      </c>
      <c r="G239" s="692"/>
      <c r="H239" s="692"/>
      <c r="I239" s="692"/>
      <c r="J239" s="692"/>
      <c r="K239" s="692"/>
      <c r="L239" s="692"/>
      <c r="M239" s="692"/>
      <c r="N239" s="692"/>
      <c r="O239" s="692"/>
      <c r="P239" s="692"/>
      <c r="Q239" s="692"/>
      <c r="R239" s="692"/>
      <c r="S239" s="692"/>
      <c r="T239" s="692"/>
      <c r="U239" s="692"/>
      <c r="V239" s="692"/>
      <c r="W239" s="692"/>
      <c r="X239" s="692"/>
      <c r="Y239" s="692"/>
      <c r="Z239" s="692"/>
      <c r="AA239" s="692"/>
      <c r="AB239" s="692"/>
      <c r="AC239" s="692"/>
      <c r="AD239" s="692"/>
      <c r="AE239" s="692"/>
      <c r="AF239" s="692"/>
      <c r="AG239" s="692"/>
      <c r="AH239" s="692"/>
      <c r="AI239" s="692"/>
      <c r="AJ239" s="692"/>
      <c r="AK239" s="692"/>
      <c r="AL239" s="692"/>
      <c r="AM239" s="692"/>
      <c r="AN239" s="692"/>
      <c r="AO239" s="692"/>
      <c r="AP239" s="692"/>
      <c r="AQ239" s="692"/>
      <c r="AR239" s="692"/>
      <c r="AS239" s="692"/>
      <c r="AT239" s="692"/>
      <c r="AU239" s="692"/>
      <c r="AV239" s="692"/>
      <c r="AW239" s="692"/>
      <c r="AX239" s="692"/>
      <c r="AY239" s="692"/>
      <c r="AZ239" s="692"/>
      <c r="BA239" s="692"/>
      <c r="BB239" s="692"/>
      <c r="BC239" s="692"/>
      <c r="BD239" s="692"/>
      <c r="BE239" s="692"/>
      <c r="BF239" s="692"/>
      <c r="BG239" s="692"/>
      <c r="BH239" s="692"/>
      <c r="BI239" s="692"/>
      <c r="BJ239" s="692"/>
      <c r="BK239" s="692"/>
      <c r="BL239" s="692"/>
      <c r="BM239" s="692"/>
      <c r="BN239" s="692"/>
      <c r="BO239" s="692"/>
      <c r="BP239" s="692"/>
      <c r="BQ239" s="692"/>
      <c r="BR239" s="692"/>
      <c r="BS239" s="692"/>
      <c r="BT239" s="692"/>
      <c r="BU239" s="692"/>
      <c r="BV239" s="692"/>
      <c r="BW239" s="692"/>
      <c r="BX239" s="692"/>
      <c r="BY239" s="692"/>
      <c r="BZ239" s="692"/>
      <c r="CA239" s="692"/>
      <c r="CB239" s="692"/>
      <c r="CC239" s="692"/>
      <c r="CD239" s="692"/>
      <c r="CE239" s="692"/>
      <c r="CF239" s="692"/>
      <c r="CG239" s="692"/>
      <c r="CH239" s="692"/>
      <c r="CI239" s="692"/>
      <c r="CJ239" s="692"/>
      <c r="CK239" s="692"/>
      <c r="CL239" s="692"/>
      <c r="CM239" s="692"/>
      <c r="CN239" s="692"/>
      <c r="CO239" s="692"/>
      <c r="CP239" s="692"/>
      <c r="CQ239" s="692"/>
      <c r="CR239" s="692"/>
      <c r="CS239" s="692"/>
      <c r="CT239" s="692"/>
      <c r="CU239" s="692"/>
      <c r="CV239" s="692"/>
      <c r="CW239" s="692"/>
      <c r="CX239" s="692"/>
      <c r="CY239" s="692"/>
      <c r="CZ239" s="692"/>
      <c r="DA239" s="692"/>
      <c r="DB239" s="692"/>
      <c r="DC239" s="692"/>
      <c r="DD239" s="692"/>
      <c r="DE239" s="692"/>
      <c r="DF239" s="692"/>
      <c r="DG239" s="692"/>
      <c r="DH239" s="692"/>
      <c r="DI239" s="692"/>
      <c r="DJ239" s="692"/>
      <c r="DK239" s="692"/>
      <c r="DL239" s="692"/>
      <c r="DM239" s="692"/>
      <c r="DN239" s="692"/>
      <c r="DO239" s="692"/>
      <c r="DP239" s="692"/>
      <c r="DQ239" s="692"/>
      <c r="DR239" s="692"/>
      <c r="DS239" s="692"/>
      <c r="DT239" s="692"/>
      <c r="DU239" s="692"/>
      <c r="DV239" s="692"/>
      <c r="DW239" s="692"/>
      <c r="DX239" s="692"/>
      <c r="DY239" s="692"/>
      <c r="DZ239" s="692"/>
      <c r="EA239" s="692"/>
      <c r="EB239" s="692"/>
      <c r="EC239" s="692"/>
      <c r="ED239" s="692"/>
      <c r="EE239" s="692"/>
      <c r="EF239" s="692"/>
      <c r="EG239" s="692"/>
      <c r="EH239" s="692"/>
      <c r="EI239" s="692"/>
      <c r="EJ239" s="692"/>
      <c r="EK239" s="692"/>
      <c r="EL239" s="692"/>
      <c r="EM239" s="692"/>
      <c r="EN239" s="692"/>
      <c r="EO239" s="692"/>
      <c r="EP239" s="692"/>
      <c r="EQ239" s="692"/>
      <c r="ER239" s="692"/>
      <c r="ES239" s="692"/>
      <c r="ET239" s="692"/>
      <c r="EU239" s="692"/>
      <c r="EV239" s="692"/>
      <c r="EW239" s="692"/>
      <c r="EX239" s="692"/>
      <c r="EY239" s="692"/>
      <c r="EZ239" s="692"/>
      <c r="FA239" s="692"/>
      <c r="FB239" s="692"/>
      <c r="FC239" s="692"/>
      <c r="FD239" s="692"/>
      <c r="FE239" s="692"/>
      <c r="FF239" s="692"/>
      <c r="FG239" s="692"/>
      <c r="FH239" s="692"/>
      <c r="FI239" s="692"/>
      <c r="FJ239" s="692"/>
      <c r="FK239" s="692"/>
      <c r="FL239" s="692"/>
      <c r="FM239" s="692"/>
      <c r="FN239" s="692"/>
      <c r="FO239" s="692"/>
      <c r="FP239" s="692"/>
      <c r="FQ239" s="692"/>
      <c r="FR239" s="692"/>
      <c r="FS239" s="692"/>
      <c r="FT239" s="692"/>
      <c r="FU239" s="692"/>
      <c r="FV239" s="692"/>
      <c r="FW239" s="692"/>
      <c r="FX239" s="692"/>
      <c r="FY239" s="692"/>
      <c r="FZ239" s="692"/>
      <c r="GA239" s="692"/>
      <c r="GB239" s="692"/>
      <c r="GC239" s="692"/>
      <c r="GD239" s="692"/>
      <c r="GE239" s="692"/>
      <c r="GF239" s="692"/>
      <c r="GG239" s="692"/>
      <c r="GH239" s="692"/>
      <c r="GI239" s="692"/>
      <c r="GJ239" s="692"/>
      <c r="GK239" s="692"/>
      <c r="GL239" s="692"/>
      <c r="GM239" s="692"/>
      <c r="GN239" s="692"/>
      <c r="GO239" s="692"/>
      <c r="GP239" s="692"/>
      <c r="GQ239" s="692"/>
      <c r="GR239" s="692"/>
      <c r="GS239" s="692"/>
      <c r="GT239" s="692"/>
      <c r="GU239" s="692"/>
      <c r="GV239" s="692"/>
      <c r="GW239" s="692"/>
      <c r="GX239" s="692"/>
      <c r="GY239" s="692"/>
      <c r="GZ239" s="692"/>
      <c r="HA239" s="692"/>
      <c r="HB239" s="692"/>
      <c r="HC239" s="692"/>
      <c r="HD239" s="692"/>
      <c r="HE239" s="692"/>
      <c r="HF239" s="692"/>
      <c r="HG239" s="692"/>
      <c r="HH239" s="692"/>
      <c r="HI239" s="692"/>
      <c r="HJ239" s="692"/>
      <c r="HK239" s="692"/>
      <c r="HL239" s="692"/>
      <c r="HM239" s="692"/>
      <c r="HN239" s="692"/>
      <c r="HO239" s="692"/>
      <c r="HP239" s="692"/>
      <c r="HQ239" s="692"/>
      <c r="HR239" s="692"/>
      <c r="HS239" s="692"/>
      <c r="HT239" s="692"/>
      <c r="HU239" s="692"/>
      <c r="HV239" s="692"/>
      <c r="HW239" s="692"/>
      <c r="HX239" s="692"/>
      <c r="HY239" s="692"/>
      <c r="HZ239" s="692"/>
      <c r="IA239" s="692"/>
      <c r="IB239" s="692"/>
      <c r="IC239" s="692"/>
      <c r="ID239" s="692"/>
      <c r="IE239" s="692"/>
      <c r="IF239" s="692"/>
      <c r="IG239" s="692"/>
      <c r="IH239" s="692"/>
      <c r="II239" s="692"/>
      <c r="IJ239" s="692"/>
      <c r="IK239" s="692"/>
      <c r="IL239" s="692"/>
      <c r="IM239" s="692"/>
      <c r="IN239" s="692"/>
      <c r="IO239" s="692"/>
      <c r="IP239" s="692"/>
      <c r="IQ239" s="692"/>
      <c r="IR239" s="692"/>
      <c r="IS239" s="692"/>
      <c r="IT239" s="692"/>
      <c r="IU239" s="692"/>
      <c r="IV239" s="692"/>
      <c r="IW239" s="692"/>
      <c r="IX239" s="692"/>
      <c r="IY239" s="692"/>
      <c r="IZ239" s="692"/>
      <c r="JA239" s="692"/>
      <c r="JB239" s="692"/>
      <c r="JC239" s="692"/>
      <c r="JD239" s="692"/>
      <c r="JE239" s="692"/>
      <c r="JF239" s="692"/>
      <c r="JG239" s="692"/>
      <c r="JH239" s="692"/>
      <c r="JI239" s="692"/>
      <c r="JJ239" s="692"/>
      <c r="JK239" s="692"/>
      <c r="JL239" s="692"/>
      <c r="JM239" s="692"/>
      <c r="JN239" s="692"/>
      <c r="JO239" s="692"/>
      <c r="JP239" s="692"/>
      <c r="JQ239" s="692"/>
      <c r="JR239" s="692"/>
      <c r="JS239" s="692"/>
      <c r="JT239" s="692"/>
      <c r="JU239" s="692"/>
      <c r="JV239" s="692"/>
      <c r="JW239" s="692"/>
      <c r="JX239" s="692"/>
      <c r="JY239" s="692"/>
      <c r="JZ239" s="692"/>
      <c r="KA239" s="692"/>
      <c r="KB239" s="692"/>
      <c r="KC239" s="692"/>
      <c r="KD239" s="692"/>
      <c r="KE239" s="692"/>
      <c r="KF239" s="692"/>
      <c r="KG239" s="692"/>
      <c r="KH239" s="692"/>
      <c r="KI239" s="692"/>
      <c r="KJ239" s="692"/>
      <c r="KK239" s="692"/>
      <c r="KL239" s="692"/>
      <c r="KM239" s="692"/>
      <c r="KN239" s="692"/>
      <c r="KO239" s="692"/>
      <c r="KP239" s="692"/>
      <c r="KQ239" s="692"/>
      <c r="KR239" s="692"/>
      <c r="KS239" s="692"/>
      <c r="KT239" s="692"/>
      <c r="KU239" s="692"/>
      <c r="KV239" s="692"/>
      <c r="KW239" s="692"/>
      <c r="KX239" s="692"/>
      <c r="KY239" s="692"/>
      <c r="KZ239" s="692"/>
      <c r="LA239" s="692"/>
      <c r="LB239" s="692"/>
      <c r="LC239" s="692"/>
      <c r="LD239" s="692"/>
      <c r="LE239" s="692"/>
      <c r="LF239" s="692"/>
      <c r="LG239" s="692"/>
      <c r="LH239" s="692"/>
      <c r="LI239" s="692"/>
      <c r="LJ239" s="692"/>
      <c r="LK239" s="692"/>
      <c r="LL239" s="692"/>
      <c r="LM239" s="692"/>
      <c r="LN239" s="692"/>
      <c r="LO239" s="692"/>
      <c r="LP239" s="692"/>
      <c r="LQ239" s="692"/>
      <c r="LR239" s="692"/>
      <c r="LS239" s="692"/>
      <c r="LT239" s="692"/>
      <c r="LU239" s="692"/>
      <c r="LV239" s="692"/>
      <c r="LW239" s="692"/>
      <c r="LX239" s="692"/>
      <c r="LY239" s="692"/>
      <c r="LZ239" s="692"/>
      <c r="MA239" s="692"/>
      <c r="MB239" s="692"/>
      <c r="MC239" s="692"/>
      <c r="MD239" s="692"/>
      <c r="ME239" s="692"/>
      <c r="MF239" s="692"/>
      <c r="MG239" s="692"/>
      <c r="MH239" s="692"/>
      <c r="MI239" s="692"/>
      <c r="MJ239" s="692"/>
      <c r="MK239" s="692"/>
      <c r="ML239" s="692"/>
      <c r="MM239" s="692"/>
      <c r="MN239" s="692"/>
      <c r="MO239" s="692"/>
      <c r="MP239" s="692"/>
      <c r="MQ239" s="692"/>
      <c r="MR239" s="692"/>
      <c r="MS239" s="692"/>
      <c r="MT239" s="692"/>
      <c r="MU239" s="692"/>
      <c r="MV239" s="692"/>
      <c r="MW239" s="692"/>
      <c r="MX239" s="692"/>
      <c r="MY239" s="692"/>
      <c r="MZ239" s="692"/>
      <c r="NA239" s="692"/>
      <c r="NB239" s="692"/>
      <c r="NC239" s="692"/>
      <c r="ND239" s="692"/>
      <c r="NE239" s="692"/>
      <c r="NF239" s="692"/>
      <c r="NG239" s="692"/>
      <c r="NH239" s="692"/>
      <c r="NI239" s="692"/>
      <c r="NJ239" s="692"/>
      <c r="NK239" s="692"/>
      <c r="NL239" s="692"/>
      <c r="NM239" s="692"/>
      <c r="NN239" s="692"/>
      <c r="NO239" s="692"/>
      <c r="NP239" s="692"/>
      <c r="NQ239" s="692"/>
      <c r="NR239" s="692"/>
    </row>
    <row r="240" spans="1:382" s="709" customFormat="1" ht="15.75" thickBot="1" x14ac:dyDescent="0.3">
      <c r="A240" s="8"/>
      <c r="B240" s="109" t="s">
        <v>1703</v>
      </c>
      <c r="C240" s="810">
        <f>'Input Data'!E339 + 'Input Data'!E340</f>
        <v>0</v>
      </c>
      <c r="D240" s="47" t="s">
        <v>390</v>
      </c>
      <c r="E240" s="36"/>
      <c r="F240" s="686" t="s">
        <v>1704</v>
      </c>
      <c r="G240" s="692"/>
    </row>
    <row r="241" spans="1:382" s="692" customFormat="1" ht="15.75" thickBot="1" x14ac:dyDescent="0.3">
      <c r="A241" s="47"/>
      <c r="B241" s="189" t="s">
        <v>1705</v>
      </c>
      <c r="C241" s="507">
        <f>C239*C240/1000</f>
        <v>0</v>
      </c>
      <c r="D241" s="680" t="s">
        <v>1575</v>
      </c>
      <c r="E241" s="27"/>
      <c r="F241" s="686"/>
    </row>
    <row r="242" spans="1:382" s="692" customFormat="1" ht="15.75" thickBot="1" x14ac:dyDescent="0.3">
      <c r="A242" s="47"/>
      <c r="B242" s="680"/>
      <c r="C242" s="507"/>
      <c r="D242" s="47"/>
      <c r="E242" s="27"/>
      <c r="F242" s="207"/>
    </row>
    <row r="243" spans="1:382" s="692" customFormat="1" ht="15.75" thickBot="1" x14ac:dyDescent="0.3">
      <c r="A243" s="47"/>
      <c r="B243" s="680" t="s">
        <v>1678</v>
      </c>
      <c r="C243" s="703" t="e">
        <f>C211+C217+C223+C227+C233+C237+C241</f>
        <v>#DIV/0!</v>
      </c>
      <c r="D243" s="680" t="s">
        <v>1575</v>
      </c>
      <c r="E243" s="27"/>
      <c r="F243" s="207"/>
    </row>
    <row r="244" spans="1:382" s="692" customFormat="1" x14ac:dyDescent="0.25">
      <c r="A244" s="47"/>
      <c r="B244" s="680" t="s">
        <v>1678</v>
      </c>
      <c r="C244" s="704" t="e">
        <f>C243/'Input Data'!E15</f>
        <v>#DIV/0!</v>
      </c>
      <c r="D244" s="680" t="s">
        <v>1061</v>
      </c>
      <c r="E244" s="27"/>
      <c r="F244" s="207"/>
    </row>
    <row r="245" spans="1:382" ht="15.75" thickBot="1" x14ac:dyDescent="0.3">
      <c r="A245" s="47"/>
      <c r="B245" s="47"/>
      <c r="C245" s="508"/>
      <c r="D245" s="8"/>
      <c r="E245" s="123"/>
      <c r="F245" s="207"/>
      <c r="G245" s="692"/>
      <c r="H245" s="692"/>
      <c r="I245" s="692"/>
      <c r="J245" s="692"/>
      <c r="K245" s="692"/>
      <c r="L245" s="692"/>
      <c r="M245" s="692"/>
      <c r="N245" s="692"/>
      <c r="O245" s="692"/>
      <c r="P245" s="692"/>
      <c r="Q245" s="692"/>
      <c r="R245" s="692"/>
      <c r="S245" s="692"/>
      <c r="T245" s="692"/>
      <c r="U245" s="692"/>
      <c r="V245" s="692"/>
      <c r="W245" s="692"/>
      <c r="X245" s="692"/>
      <c r="Y245" s="692"/>
      <c r="Z245" s="692"/>
      <c r="AA245" s="692"/>
      <c r="AB245" s="692"/>
      <c r="AC245" s="692"/>
      <c r="AD245" s="692"/>
      <c r="AE245" s="692"/>
      <c r="AF245" s="692"/>
      <c r="AG245" s="692"/>
      <c r="AH245" s="692"/>
      <c r="AI245" s="692"/>
      <c r="AJ245" s="692"/>
      <c r="AK245" s="692"/>
      <c r="AL245" s="692"/>
      <c r="AM245" s="692"/>
      <c r="AN245" s="692"/>
      <c r="AO245" s="692"/>
      <c r="AP245" s="692"/>
      <c r="AQ245" s="692"/>
      <c r="AR245" s="692"/>
      <c r="AS245" s="692"/>
      <c r="AT245" s="692"/>
      <c r="AU245" s="692"/>
      <c r="AV245" s="692"/>
      <c r="AW245" s="692"/>
      <c r="AX245" s="692"/>
      <c r="AY245" s="692"/>
      <c r="AZ245" s="692"/>
      <c r="BA245" s="692"/>
      <c r="BB245" s="692"/>
      <c r="BC245" s="692"/>
      <c r="BD245" s="692"/>
      <c r="BE245" s="692"/>
      <c r="BF245" s="692"/>
      <c r="BG245" s="692"/>
      <c r="BH245" s="692"/>
      <c r="BI245" s="692"/>
      <c r="BJ245" s="692"/>
      <c r="BK245" s="692"/>
      <c r="BL245" s="692"/>
      <c r="BM245" s="692"/>
      <c r="BN245" s="692"/>
      <c r="BO245" s="692"/>
      <c r="BP245" s="692"/>
      <c r="BQ245" s="692"/>
      <c r="BR245" s="692"/>
      <c r="BS245" s="692"/>
      <c r="BT245" s="692"/>
      <c r="BU245" s="692"/>
      <c r="BV245" s="692"/>
      <c r="BW245" s="692"/>
      <c r="BX245" s="692"/>
      <c r="BY245" s="692"/>
      <c r="BZ245" s="692"/>
      <c r="CA245" s="692"/>
      <c r="CB245" s="692"/>
      <c r="CC245" s="692"/>
      <c r="CD245" s="692"/>
      <c r="CE245" s="692"/>
      <c r="CF245" s="692"/>
      <c r="CG245" s="692"/>
      <c r="CH245" s="692"/>
      <c r="CI245" s="692"/>
      <c r="CJ245" s="692"/>
      <c r="CK245" s="692"/>
      <c r="CL245" s="692"/>
      <c r="CM245" s="692"/>
      <c r="CN245" s="692"/>
      <c r="CO245" s="692"/>
      <c r="CP245" s="692"/>
      <c r="CQ245" s="692"/>
      <c r="CR245" s="692"/>
      <c r="CS245" s="692"/>
      <c r="CT245" s="692"/>
      <c r="CU245" s="692"/>
      <c r="CV245" s="692"/>
      <c r="CW245" s="692"/>
      <c r="CX245" s="692"/>
      <c r="CY245" s="692"/>
      <c r="CZ245" s="692"/>
      <c r="DA245" s="692"/>
      <c r="DB245" s="692"/>
      <c r="DC245" s="692"/>
      <c r="DD245" s="692"/>
      <c r="DE245" s="692"/>
      <c r="DF245" s="692"/>
      <c r="DG245" s="692"/>
      <c r="DH245" s="692"/>
      <c r="DI245" s="692"/>
      <c r="DJ245" s="692"/>
      <c r="DK245" s="692"/>
      <c r="DL245" s="692"/>
      <c r="DM245" s="692"/>
      <c r="DN245" s="692"/>
      <c r="DO245" s="692"/>
      <c r="DP245" s="692"/>
      <c r="DQ245" s="692"/>
      <c r="DR245" s="692"/>
      <c r="DS245" s="692"/>
      <c r="DT245" s="692"/>
      <c r="DU245" s="692"/>
      <c r="DV245" s="692"/>
      <c r="DW245" s="692"/>
      <c r="DX245" s="692"/>
      <c r="DY245" s="692"/>
      <c r="DZ245" s="692"/>
      <c r="EA245" s="692"/>
      <c r="EB245" s="692"/>
      <c r="EC245" s="692"/>
      <c r="ED245" s="692"/>
      <c r="EE245" s="692"/>
      <c r="EF245" s="692"/>
      <c r="EG245" s="692"/>
      <c r="EH245" s="692"/>
      <c r="EI245" s="692"/>
      <c r="EJ245" s="692"/>
      <c r="EK245" s="692"/>
      <c r="EL245" s="692"/>
      <c r="EM245" s="692"/>
      <c r="EN245" s="692"/>
      <c r="EO245" s="692"/>
      <c r="EP245" s="692"/>
      <c r="EQ245" s="692"/>
      <c r="ER245" s="692"/>
      <c r="ES245" s="692"/>
      <c r="ET245" s="692"/>
      <c r="EU245" s="692"/>
      <c r="EV245" s="692"/>
      <c r="EW245" s="692"/>
      <c r="EX245" s="692"/>
      <c r="EY245" s="692"/>
      <c r="EZ245" s="692"/>
      <c r="FA245" s="692"/>
      <c r="FB245" s="692"/>
      <c r="FC245" s="692"/>
      <c r="FD245" s="692"/>
      <c r="FE245" s="692"/>
      <c r="FF245" s="692"/>
      <c r="FG245" s="692"/>
      <c r="FH245" s="692"/>
      <c r="FI245" s="692"/>
      <c r="FJ245" s="692"/>
      <c r="FK245" s="692"/>
      <c r="FL245" s="692"/>
      <c r="FM245" s="692"/>
      <c r="FN245" s="692"/>
      <c r="FO245" s="692"/>
      <c r="FP245" s="692"/>
      <c r="FQ245" s="692"/>
      <c r="FR245" s="692"/>
      <c r="FS245" s="692"/>
      <c r="FT245" s="692"/>
      <c r="FU245" s="692"/>
      <c r="FV245" s="692"/>
      <c r="FW245" s="692"/>
      <c r="FX245" s="692"/>
      <c r="FY245" s="692"/>
      <c r="FZ245" s="692"/>
      <c r="GA245" s="692"/>
      <c r="GB245" s="692"/>
      <c r="GC245" s="692"/>
      <c r="GD245" s="692"/>
      <c r="GE245" s="692"/>
      <c r="GF245" s="692"/>
      <c r="GG245" s="692"/>
      <c r="GH245" s="692"/>
      <c r="GI245" s="692"/>
      <c r="GJ245" s="692"/>
      <c r="GK245" s="692"/>
      <c r="GL245" s="692"/>
      <c r="GM245" s="692"/>
      <c r="GN245" s="692"/>
      <c r="GO245" s="692"/>
      <c r="GP245" s="692"/>
      <c r="GQ245" s="692"/>
      <c r="GR245" s="692"/>
      <c r="GS245" s="692"/>
      <c r="GT245" s="692"/>
      <c r="GU245" s="692"/>
      <c r="GV245" s="692"/>
      <c r="GW245" s="692"/>
      <c r="GX245" s="692"/>
      <c r="GY245" s="692"/>
      <c r="GZ245" s="692"/>
      <c r="HA245" s="692"/>
      <c r="HB245" s="692"/>
      <c r="HC245" s="692"/>
      <c r="HD245" s="692"/>
      <c r="HE245" s="692"/>
      <c r="HF245" s="692"/>
      <c r="HG245" s="692"/>
      <c r="HH245" s="692"/>
      <c r="HI245" s="692"/>
      <c r="HJ245" s="692"/>
      <c r="HK245" s="692"/>
      <c r="HL245" s="692"/>
      <c r="HM245" s="692"/>
      <c r="HN245" s="692"/>
      <c r="HO245" s="692"/>
      <c r="HP245" s="692"/>
      <c r="HQ245" s="692"/>
      <c r="HR245" s="692"/>
      <c r="HS245" s="692"/>
      <c r="HT245" s="692"/>
      <c r="HU245" s="692"/>
      <c r="HV245" s="692"/>
      <c r="HW245" s="692"/>
      <c r="HX245" s="692"/>
      <c r="HY245" s="692"/>
      <c r="HZ245" s="692"/>
      <c r="IA245" s="692"/>
      <c r="IB245" s="692"/>
      <c r="IC245" s="692"/>
      <c r="ID245" s="692"/>
      <c r="IE245" s="692"/>
      <c r="IF245" s="692"/>
      <c r="IG245" s="692"/>
      <c r="IH245" s="692"/>
      <c r="II245" s="692"/>
      <c r="IJ245" s="692"/>
      <c r="IK245" s="692"/>
      <c r="IL245" s="692"/>
      <c r="IM245" s="692"/>
      <c r="IN245" s="692"/>
      <c r="IO245" s="692"/>
      <c r="IP245" s="692"/>
      <c r="IQ245" s="692"/>
      <c r="IR245" s="692"/>
      <c r="IS245" s="692"/>
      <c r="IT245" s="692"/>
      <c r="IU245" s="692"/>
      <c r="IV245" s="692"/>
      <c r="IW245" s="692"/>
      <c r="IX245" s="692"/>
      <c r="IY245" s="692"/>
      <c r="IZ245" s="692"/>
      <c r="JA245" s="692"/>
      <c r="JB245" s="692"/>
      <c r="JC245" s="692"/>
      <c r="JD245" s="692"/>
      <c r="JE245" s="692"/>
      <c r="JF245" s="692"/>
      <c r="JG245" s="692"/>
      <c r="JH245" s="692"/>
      <c r="JI245" s="692"/>
      <c r="JJ245" s="692"/>
      <c r="JK245" s="692"/>
      <c r="JL245" s="692"/>
      <c r="JM245" s="692"/>
      <c r="JN245" s="692"/>
      <c r="JO245" s="692"/>
      <c r="JP245" s="692"/>
      <c r="JQ245" s="692"/>
      <c r="JR245" s="692"/>
      <c r="JS245" s="692"/>
      <c r="JT245" s="692"/>
      <c r="JU245" s="692"/>
      <c r="JV245" s="692"/>
      <c r="JW245" s="692"/>
      <c r="JX245" s="692"/>
      <c r="JY245" s="692"/>
      <c r="JZ245" s="692"/>
      <c r="KA245" s="692"/>
      <c r="KB245" s="692"/>
      <c r="KC245" s="692"/>
      <c r="KD245" s="692"/>
      <c r="KE245" s="692"/>
      <c r="KF245" s="692"/>
      <c r="KG245" s="692"/>
      <c r="KH245" s="692"/>
      <c r="KI245" s="692"/>
      <c r="KJ245" s="692"/>
      <c r="KK245" s="692"/>
      <c r="KL245" s="692"/>
      <c r="KM245" s="692"/>
      <c r="KN245" s="692"/>
      <c r="KO245" s="692"/>
      <c r="KP245" s="692"/>
      <c r="KQ245" s="692"/>
      <c r="KR245" s="692"/>
      <c r="KS245" s="692"/>
      <c r="KT245" s="692"/>
      <c r="KU245" s="692"/>
      <c r="KV245" s="692"/>
      <c r="KW245" s="692"/>
      <c r="KX245" s="692"/>
      <c r="KY245" s="692"/>
      <c r="KZ245" s="692"/>
      <c r="LA245" s="692"/>
      <c r="LB245" s="692"/>
      <c r="LC245" s="692"/>
      <c r="LD245" s="692"/>
      <c r="LE245" s="692"/>
      <c r="LF245" s="692"/>
      <c r="LG245" s="692"/>
      <c r="LH245" s="692"/>
      <c r="LI245" s="692"/>
      <c r="LJ245" s="692"/>
      <c r="LK245" s="692"/>
      <c r="LL245" s="692"/>
      <c r="LM245" s="692"/>
      <c r="LN245" s="692"/>
      <c r="LO245" s="692"/>
      <c r="LP245" s="692"/>
      <c r="LQ245" s="692"/>
      <c r="LR245" s="692"/>
      <c r="LS245" s="692"/>
      <c r="LT245" s="692"/>
      <c r="LU245" s="692"/>
      <c r="LV245" s="692"/>
      <c r="LW245" s="692"/>
      <c r="LX245" s="692"/>
      <c r="LY245" s="692"/>
      <c r="LZ245" s="692"/>
      <c r="MA245" s="692"/>
      <c r="MB245" s="692"/>
      <c r="MC245" s="692"/>
      <c r="MD245" s="692"/>
      <c r="ME245" s="692"/>
      <c r="MF245" s="692"/>
      <c r="MG245" s="692"/>
      <c r="MH245" s="692"/>
      <c r="MI245" s="692"/>
      <c r="MJ245" s="692"/>
      <c r="MK245" s="692"/>
      <c r="ML245" s="692"/>
      <c r="MM245" s="692"/>
      <c r="MN245" s="692"/>
      <c r="MO245" s="692"/>
      <c r="MP245" s="692"/>
      <c r="MQ245" s="692"/>
      <c r="MR245" s="692"/>
      <c r="MS245" s="692"/>
      <c r="MT245" s="692"/>
      <c r="MU245" s="692"/>
      <c r="MV245" s="692"/>
      <c r="MW245" s="692"/>
      <c r="MX245" s="692"/>
      <c r="MY245" s="692"/>
      <c r="MZ245" s="692"/>
      <c r="NA245" s="692"/>
      <c r="NB245" s="692"/>
      <c r="NC245" s="692"/>
      <c r="ND245" s="692"/>
      <c r="NE245" s="692"/>
      <c r="NF245" s="692"/>
      <c r="NG245" s="692"/>
      <c r="NH245" s="692"/>
      <c r="NI245" s="692"/>
      <c r="NJ245" s="692"/>
      <c r="NK245" s="692"/>
      <c r="NL245" s="692"/>
      <c r="NM245" s="692"/>
      <c r="NN245" s="692"/>
      <c r="NO245" s="692"/>
      <c r="NP245" s="692"/>
      <c r="NQ245" s="692"/>
      <c r="NR245" s="692"/>
    </row>
    <row r="246" spans="1:382" ht="15.75" thickBot="1" x14ac:dyDescent="0.3">
      <c r="A246" s="680"/>
      <c r="B246" s="175" t="s">
        <v>1706</v>
      </c>
      <c r="C246" s="509"/>
      <c r="D246" s="680"/>
      <c r="E246" s="25"/>
      <c r="F246" s="203"/>
      <c r="G246" s="692"/>
      <c r="H246" s="692"/>
      <c r="I246" s="692"/>
      <c r="J246" s="692"/>
      <c r="K246" s="692"/>
      <c r="L246" s="692"/>
      <c r="M246" s="692"/>
      <c r="N246" s="692"/>
      <c r="O246" s="692"/>
      <c r="P246" s="692"/>
      <c r="Q246" s="692"/>
      <c r="R246" s="692"/>
      <c r="S246" s="692"/>
      <c r="T246" s="692"/>
      <c r="U246" s="692"/>
      <c r="V246" s="692"/>
      <c r="W246" s="692"/>
      <c r="X246" s="692"/>
      <c r="Y246" s="692"/>
      <c r="Z246" s="692"/>
      <c r="AA246" s="692"/>
      <c r="AB246" s="692"/>
      <c r="AC246" s="692"/>
      <c r="AD246" s="692"/>
      <c r="AE246" s="692"/>
      <c r="AF246" s="692"/>
      <c r="AG246" s="692"/>
      <c r="AH246" s="692"/>
      <c r="AI246" s="692"/>
      <c r="AJ246" s="692"/>
      <c r="AK246" s="692"/>
      <c r="AL246" s="692"/>
      <c r="AM246" s="692"/>
      <c r="AN246" s="692"/>
      <c r="AO246" s="692"/>
      <c r="AP246" s="692"/>
      <c r="AQ246" s="692"/>
      <c r="AR246" s="692"/>
      <c r="AS246" s="692"/>
      <c r="AT246" s="692"/>
      <c r="AU246" s="692"/>
      <c r="AV246" s="692"/>
      <c r="AW246" s="692"/>
      <c r="AX246" s="692"/>
      <c r="AY246" s="692"/>
      <c r="AZ246" s="692"/>
      <c r="BA246" s="692"/>
      <c r="BB246" s="692"/>
      <c r="BC246" s="692"/>
      <c r="BD246" s="692"/>
      <c r="BE246" s="692"/>
      <c r="BF246" s="692"/>
      <c r="BG246" s="692"/>
      <c r="BH246" s="692"/>
      <c r="BI246" s="692"/>
      <c r="BJ246" s="692"/>
      <c r="BK246" s="692"/>
      <c r="BL246" s="692"/>
      <c r="BM246" s="692"/>
      <c r="BN246" s="692"/>
      <c r="BO246" s="692"/>
      <c r="BP246" s="692"/>
      <c r="BQ246" s="692"/>
      <c r="BR246" s="692"/>
      <c r="BS246" s="692"/>
      <c r="BT246" s="692"/>
      <c r="BU246" s="692"/>
      <c r="BV246" s="692"/>
      <c r="BW246" s="692"/>
      <c r="BX246" s="692"/>
      <c r="BY246" s="692"/>
      <c r="BZ246" s="692"/>
      <c r="CA246" s="692"/>
      <c r="CB246" s="692"/>
      <c r="CC246" s="692"/>
      <c r="CD246" s="692"/>
      <c r="CE246" s="692"/>
      <c r="CF246" s="692"/>
      <c r="CG246" s="692"/>
      <c r="CH246" s="692"/>
      <c r="CI246" s="692"/>
      <c r="CJ246" s="692"/>
      <c r="CK246" s="692"/>
      <c r="CL246" s="692"/>
      <c r="CM246" s="692"/>
      <c r="CN246" s="692"/>
      <c r="CO246" s="692"/>
      <c r="CP246" s="692"/>
      <c r="CQ246" s="692"/>
      <c r="CR246" s="692"/>
      <c r="CS246" s="692"/>
      <c r="CT246" s="692"/>
      <c r="CU246" s="692"/>
      <c r="CV246" s="692"/>
      <c r="CW246" s="692"/>
      <c r="CX246" s="692"/>
      <c r="CY246" s="692"/>
      <c r="CZ246" s="692"/>
      <c r="DA246" s="692"/>
      <c r="DB246" s="692"/>
      <c r="DC246" s="692"/>
      <c r="DD246" s="692"/>
      <c r="DE246" s="692"/>
      <c r="DF246" s="692"/>
      <c r="DG246" s="692"/>
      <c r="DH246" s="692"/>
      <c r="DI246" s="692"/>
      <c r="DJ246" s="692"/>
      <c r="DK246" s="692"/>
      <c r="DL246" s="692"/>
      <c r="DM246" s="692"/>
      <c r="DN246" s="692"/>
      <c r="DO246" s="692"/>
      <c r="DP246" s="692"/>
      <c r="DQ246" s="692"/>
      <c r="DR246" s="692"/>
      <c r="DS246" s="692"/>
      <c r="DT246" s="692"/>
      <c r="DU246" s="692"/>
      <c r="DV246" s="692"/>
      <c r="DW246" s="692"/>
      <c r="DX246" s="692"/>
      <c r="DY246" s="692"/>
      <c r="DZ246" s="692"/>
      <c r="EA246" s="692"/>
      <c r="EB246" s="692"/>
      <c r="EC246" s="692"/>
      <c r="ED246" s="692"/>
      <c r="EE246" s="692"/>
      <c r="EF246" s="692"/>
      <c r="EG246" s="692"/>
      <c r="EH246" s="692"/>
      <c r="EI246" s="692"/>
      <c r="EJ246" s="692"/>
      <c r="EK246" s="692"/>
      <c r="EL246" s="692"/>
      <c r="EM246" s="692"/>
      <c r="EN246" s="692"/>
      <c r="EO246" s="692"/>
      <c r="EP246" s="692"/>
      <c r="EQ246" s="692"/>
      <c r="ER246" s="692"/>
      <c r="ES246" s="692"/>
      <c r="ET246" s="692"/>
      <c r="EU246" s="692"/>
      <c r="EV246" s="692"/>
      <c r="EW246" s="692"/>
      <c r="EX246" s="692"/>
      <c r="EY246" s="692"/>
      <c r="EZ246" s="692"/>
      <c r="FA246" s="692"/>
      <c r="FB246" s="692"/>
      <c r="FC246" s="692"/>
      <c r="FD246" s="692"/>
      <c r="FE246" s="692"/>
      <c r="FF246" s="692"/>
      <c r="FG246" s="692"/>
      <c r="FH246" s="692"/>
      <c r="FI246" s="692"/>
      <c r="FJ246" s="692"/>
      <c r="FK246" s="692"/>
      <c r="FL246" s="692"/>
      <c r="FM246" s="692"/>
      <c r="FN246" s="692"/>
      <c r="FO246" s="692"/>
      <c r="FP246" s="692"/>
      <c r="FQ246" s="692"/>
      <c r="FR246" s="692"/>
      <c r="FS246" s="692"/>
      <c r="FT246" s="692"/>
      <c r="FU246" s="692"/>
      <c r="FV246" s="692"/>
      <c r="FW246" s="692"/>
      <c r="FX246" s="692"/>
      <c r="FY246" s="692"/>
      <c r="FZ246" s="692"/>
      <c r="GA246" s="692"/>
      <c r="GB246" s="692"/>
      <c r="GC246" s="692"/>
      <c r="GD246" s="692"/>
      <c r="GE246" s="692"/>
      <c r="GF246" s="692"/>
      <c r="GG246" s="692"/>
      <c r="GH246" s="692"/>
      <c r="GI246" s="692"/>
      <c r="GJ246" s="692"/>
      <c r="GK246" s="692"/>
      <c r="GL246" s="692"/>
      <c r="GM246" s="692"/>
      <c r="GN246" s="692"/>
      <c r="GO246" s="692"/>
      <c r="GP246" s="692"/>
      <c r="GQ246" s="692"/>
      <c r="GR246" s="692"/>
      <c r="GS246" s="692"/>
      <c r="GT246" s="692"/>
      <c r="GU246" s="692"/>
      <c r="GV246" s="692"/>
      <c r="GW246" s="692"/>
      <c r="GX246" s="692"/>
      <c r="GY246" s="692"/>
      <c r="GZ246" s="692"/>
      <c r="HA246" s="692"/>
      <c r="HB246" s="692"/>
      <c r="HC246" s="692"/>
      <c r="HD246" s="692"/>
      <c r="HE246" s="692"/>
      <c r="HF246" s="692"/>
      <c r="HG246" s="692"/>
      <c r="HH246" s="692"/>
      <c r="HI246" s="692"/>
      <c r="HJ246" s="692"/>
      <c r="HK246" s="692"/>
      <c r="HL246" s="692"/>
      <c r="HM246" s="692"/>
      <c r="HN246" s="692"/>
      <c r="HO246" s="692"/>
      <c r="HP246" s="692"/>
      <c r="HQ246" s="692"/>
      <c r="HR246" s="692"/>
      <c r="HS246" s="692"/>
      <c r="HT246" s="692"/>
      <c r="HU246" s="692"/>
      <c r="HV246" s="692"/>
      <c r="HW246" s="692"/>
      <c r="HX246" s="692"/>
      <c r="HY246" s="692"/>
      <c r="HZ246" s="692"/>
      <c r="IA246" s="692"/>
      <c r="IB246" s="692"/>
      <c r="IC246" s="692"/>
      <c r="ID246" s="692"/>
      <c r="IE246" s="692"/>
      <c r="IF246" s="692"/>
      <c r="IG246" s="692"/>
      <c r="IH246" s="692"/>
      <c r="II246" s="692"/>
      <c r="IJ246" s="692"/>
      <c r="IK246" s="692"/>
      <c r="IL246" s="692"/>
      <c r="IM246" s="692"/>
      <c r="IN246" s="692"/>
      <c r="IO246" s="692"/>
      <c r="IP246" s="692"/>
      <c r="IQ246" s="692"/>
      <c r="IR246" s="692"/>
      <c r="IS246" s="692"/>
      <c r="IT246" s="692"/>
      <c r="IU246" s="692"/>
      <c r="IV246" s="692"/>
      <c r="IW246" s="692"/>
      <c r="IX246" s="692"/>
      <c r="IY246" s="692"/>
      <c r="IZ246" s="692"/>
      <c r="JA246" s="692"/>
      <c r="JB246" s="692"/>
      <c r="JC246" s="692"/>
      <c r="JD246" s="692"/>
      <c r="JE246" s="692"/>
      <c r="JF246" s="692"/>
      <c r="JG246" s="692"/>
      <c r="JH246" s="692"/>
      <c r="JI246" s="692"/>
      <c r="JJ246" s="692"/>
      <c r="JK246" s="692"/>
      <c r="JL246" s="692"/>
      <c r="JM246" s="692"/>
      <c r="JN246" s="692"/>
      <c r="JO246" s="692"/>
      <c r="JP246" s="692"/>
      <c r="JQ246" s="692"/>
      <c r="JR246" s="692"/>
      <c r="JS246" s="692"/>
      <c r="JT246" s="692"/>
      <c r="JU246" s="692"/>
      <c r="JV246" s="692"/>
      <c r="JW246" s="692"/>
      <c r="JX246" s="692"/>
      <c r="JY246" s="692"/>
      <c r="JZ246" s="692"/>
      <c r="KA246" s="692"/>
      <c r="KB246" s="692"/>
      <c r="KC246" s="692"/>
      <c r="KD246" s="692"/>
      <c r="KE246" s="692"/>
      <c r="KF246" s="692"/>
      <c r="KG246" s="692"/>
      <c r="KH246" s="692"/>
      <c r="KI246" s="692"/>
      <c r="KJ246" s="692"/>
      <c r="KK246" s="692"/>
      <c r="KL246" s="692"/>
      <c r="KM246" s="692"/>
      <c r="KN246" s="692"/>
      <c r="KO246" s="692"/>
      <c r="KP246" s="692"/>
      <c r="KQ246" s="692"/>
      <c r="KR246" s="692"/>
      <c r="KS246" s="692"/>
      <c r="KT246" s="692"/>
      <c r="KU246" s="692"/>
      <c r="KV246" s="692"/>
      <c r="KW246" s="692"/>
      <c r="KX246" s="692"/>
      <c r="KY246" s="692"/>
      <c r="KZ246" s="692"/>
      <c r="LA246" s="692"/>
      <c r="LB246" s="692"/>
      <c r="LC246" s="692"/>
      <c r="LD246" s="692"/>
      <c r="LE246" s="692"/>
      <c r="LF246" s="692"/>
      <c r="LG246" s="692"/>
      <c r="LH246" s="692"/>
      <c r="LI246" s="692"/>
      <c r="LJ246" s="692"/>
      <c r="LK246" s="692"/>
      <c r="LL246" s="692"/>
      <c r="LM246" s="692"/>
      <c r="LN246" s="692"/>
      <c r="LO246" s="692"/>
      <c r="LP246" s="692"/>
      <c r="LQ246" s="692"/>
      <c r="LR246" s="692"/>
      <c r="LS246" s="692"/>
      <c r="LT246" s="692"/>
      <c r="LU246" s="692"/>
      <c r="LV246" s="692"/>
      <c r="LW246" s="692"/>
      <c r="LX246" s="692"/>
      <c r="LY246" s="692"/>
      <c r="LZ246" s="692"/>
      <c r="MA246" s="692"/>
      <c r="MB246" s="692"/>
      <c r="MC246" s="692"/>
      <c r="MD246" s="692"/>
      <c r="ME246" s="692"/>
      <c r="MF246" s="692"/>
      <c r="MG246" s="692"/>
      <c r="MH246" s="692"/>
      <c r="MI246" s="692"/>
      <c r="MJ246" s="692"/>
      <c r="MK246" s="692"/>
      <c r="ML246" s="692"/>
      <c r="MM246" s="692"/>
      <c r="MN246" s="692"/>
      <c r="MO246" s="692"/>
      <c r="MP246" s="692"/>
      <c r="MQ246" s="692"/>
      <c r="MR246" s="692"/>
      <c r="MS246" s="692"/>
      <c r="MT246" s="692"/>
      <c r="MU246" s="692"/>
      <c r="MV246" s="692"/>
      <c r="MW246" s="692"/>
      <c r="MX246" s="692"/>
      <c r="MY246" s="692"/>
      <c r="MZ246" s="692"/>
      <c r="NA246" s="692"/>
      <c r="NB246" s="692"/>
      <c r="NC246" s="692"/>
      <c r="ND246" s="692"/>
      <c r="NE246" s="692"/>
      <c r="NF246" s="692"/>
      <c r="NG246" s="692"/>
      <c r="NH246" s="692"/>
      <c r="NI246" s="692"/>
      <c r="NJ246" s="692"/>
      <c r="NK246" s="692"/>
      <c r="NL246" s="692"/>
      <c r="NM246" s="692"/>
      <c r="NN246" s="692"/>
      <c r="NO246" s="692"/>
      <c r="NP246" s="692"/>
      <c r="NQ246" s="692"/>
      <c r="NR246" s="692"/>
    </row>
    <row r="247" spans="1:382" ht="15.75" thickBot="1" x14ac:dyDescent="0.3">
      <c r="A247" s="680"/>
      <c r="B247" s="121"/>
      <c r="C247" s="509"/>
      <c r="D247" s="680"/>
      <c r="E247" s="25"/>
      <c r="F247" s="203"/>
      <c r="G247" s="692"/>
      <c r="H247" s="692"/>
      <c r="I247" s="692"/>
      <c r="J247" s="692"/>
      <c r="K247" s="692"/>
      <c r="L247" s="692"/>
      <c r="M247" s="692"/>
      <c r="N247" s="692"/>
      <c r="O247" s="692"/>
      <c r="P247" s="692"/>
      <c r="Q247" s="692"/>
      <c r="R247" s="692"/>
      <c r="S247" s="692"/>
      <c r="T247" s="692"/>
      <c r="U247" s="692"/>
      <c r="V247" s="692"/>
      <c r="W247" s="692"/>
      <c r="X247" s="692"/>
      <c r="Y247" s="692"/>
      <c r="Z247" s="692"/>
      <c r="AA247" s="692"/>
      <c r="AB247" s="692"/>
      <c r="AC247" s="692"/>
      <c r="AD247" s="692"/>
      <c r="AE247" s="692"/>
      <c r="AF247" s="692"/>
      <c r="AG247" s="692"/>
      <c r="AH247" s="692"/>
      <c r="AI247" s="692"/>
      <c r="AJ247" s="692"/>
      <c r="AK247" s="692"/>
      <c r="AL247" s="692"/>
      <c r="AM247" s="692"/>
      <c r="AN247" s="692"/>
      <c r="AO247" s="692"/>
      <c r="AP247" s="692"/>
      <c r="AQ247" s="692"/>
      <c r="AR247" s="692"/>
      <c r="AS247" s="692"/>
      <c r="AT247" s="692"/>
      <c r="AU247" s="692"/>
      <c r="AV247" s="692"/>
      <c r="AW247" s="692"/>
      <c r="AX247" s="692"/>
      <c r="AY247" s="692"/>
      <c r="AZ247" s="692"/>
      <c r="BA247" s="692"/>
      <c r="BB247" s="692"/>
      <c r="BC247" s="692"/>
      <c r="BD247" s="692"/>
      <c r="BE247" s="692"/>
      <c r="BF247" s="692"/>
      <c r="BG247" s="692"/>
      <c r="BH247" s="692"/>
      <c r="BI247" s="692"/>
      <c r="BJ247" s="692"/>
      <c r="BK247" s="692"/>
      <c r="BL247" s="692"/>
      <c r="BM247" s="692"/>
      <c r="BN247" s="692"/>
      <c r="BO247" s="692"/>
      <c r="BP247" s="692"/>
      <c r="BQ247" s="692"/>
      <c r="BR247" s="692"/>
      <c r="BS247" s="692"/>
      <c r="BT247" s="692"/>
      <c r="BU247" s="692"/>
      <c r="BV247" s="692"/>
      <c r="BW247" s="692"/>
      <c r="BX247" s="692"/>
      <c r="BY247" s="692"/>
      <c r="BZ247" s="692"/>
      <c r="CA247" s="692"/>
      <c r="CB247" s="692"/>
      <c r="CC247" s="692"/>
      <c r="CD247" s="692"/>
      <c r="CE247" s="692"/>
      <c r="CF247" s="692"/>
      <c r="CG247" s="692"/>
      <c r="CH247" s="692"/>
      <c r="CI247" s="692"/>
      <c r="CJ247" s="692"/>
      <c r="CK247" s="692"/>
      <c r="CL247" s="692"/>
      <c r="CM247" s="692"/>
      <c r="CN247" s="692"/>
      <c r="CO247" s="692"/>
      <c r="CP247" s="692"/>
      <c r="CQ247" s="692"/>
      <c r="CR247" s="692"/>
      <c r="CS247" s="692"/>
      <c r="CT247" s="692"/>
      <c r="CU247" s="692"/>
      <c r="CV247" s="692"/>
      <c r="CW247" s="692"/>
      <c r="CX247" s="692"/>
      <c r="CY247" s="692"/>
      <c r="CZ247" s="692"/>
      <c r="DA247" s="692"/>
      <c r="DB247" s="692"/>
      <c r="DC247" s="692"/>
      <c r="DD247" s="692"/>
      <c r="DE247" s="692"/>
      <c r="DF247" s="692"/>
      <c r="DG247" s="692"/>
      <c r="DH247" s="692"/>
      <c r="DI247" s="692"/>
      <c r="DJ247" s="692"/>
      <c r="DK247" s="692"/>
      <c r="DL247" s="692"/>
      <c r="DM247" s="692"/>
      <c r="DN247" s="692"/>
      <c r="DO247" s="692"/>
      <c r="DP247" s="692"/>
      <c r="DQ247" s="692"/>
      <c r="DR247" s="692"/>
      <c r="DS247" s="692"/>
      <c r="DT247" s="692"/>
      <c r="DU247" s="692"/>
      <c r="DV247" s="692"/>
      <c r="DW247" s="692"/>
      <c r="DX247" s="692"/>
      <c r="DY247" s="692"/>
      <c r="DZ247" s="692"/>
      <c r="EA247" s="692"/>
      <c r="EB247" s="692"/>
      <c r="EC247" s="692"/>
      <c r="ED247" s="692"/>
      <c r="EE247" s="692"/>
      <c r="EF247" s="692"/>
      <c r="EG247" s="692"/>
      <c r="EH247" s="692"/>
      <c r="EI247" s="692"/>
      <c r="EJ247" s="692"/>
      <c r="EK247" s="692"/>
      <c r="EL247" s="692"/>
      <c r="EM247" s="692"/>
      <c r="EN247" s="692"/>
      <c r="EO247" s="692"/>
      <c r="EP247" s="692"/>
      <c r="EQ247" s="692"/>
      <c r="ER247" s="692"/>
      <c r="ES247" s="692"/>
      <c r="ET247" s="692"/>
      <c r="EU247" s="692"/>
      <c r="EV247" s="692"/>
      <c r="EW247" s="692"/>
      <c r="EX247" s="692"/>
      <c r="EY247" s="692"/>
      <c r="EZ247" s="692"/>
      <c r="FA247" s="692"/>
      <c r="FB247" s="692"/>
      <c r="FC247" s="692"/>
      <c r="FD247" s="692"/>
      <c r="FE247" s="692"/>
      <c r="FF247" s="692"/>
      <c r="FG247" s="692"/>
      <c r="FH247" s="692"/>
      <c r="FI247" s="692"/>
      <c r="FJ247" s="692"/>
      <c r="FK247" s="692"/>
      <c r="FL247" s="692"/>
      <c r="FM247" s="692"/>
      <c r="FN247" s="692"/>
      <c r="FO247" s="692"/>
      <c r="FP247" s="692"/>
      <c r="FQ247" s="692"/>
      <c r="FR247" s="692"/>
      <c r="FS247" s="692"/>
      <c r="FT247" s="692"/>
      <c r="FU247" s="692"/>
      <c r="FV247" s="692"/>
      <c r="FW247" s="692"/>
      <c r="FX247" s="692"/>
      <c r="FY247" s="692"/>
      <c r="FZ247" s="692"/>
      <c r="GA247" s="692"/>
      <c r="GB247" s="692"/>
      <c r="GC247" s="692"/>
      <c r="GD247" s="692"/>
      <c r="GE247" s="692"/>
      <c r="GF247" s="692"/>
      <c r="GG247" s="692"/>
      <c r="GH247" s="692"/>
      <c r="GI247" s="692"/>
      <c r="GJ247" s="692"/>
      <c r="GK247" s="692"/>
      <c r="GL247" s="692"/>
      <c r="GM247" s="692"/>
      <c r="GN247" s="692"/>
      <c r="GO247" s="692"/>
      <c r="GP247" s="692"/>
      <c r="GQ247" s="692"/>
      <c r="GR247" s="692"/>
      <c r="GS247" s="692"/>
      <c r="GT247" s="692"/>
      <c r="GU247" s="692"/>
      <c r="GV247" s="692"/>
      <c r="GW247" s="692"/>
      <c r="GX247" s="692"/>
      <c r="GY247" s="692"/>
      <c r="GZ247" s="692"/>
      <c r="HA247" s="692"/>
      <c r="HB247" s="692"/>
      <c r="HC247" s="692"/>
      <c r="HD247" s="692"/>
      <c r="HE247" s="692"/>
      <c r="HF247" s="692"/>
      <c r="HG247" s="692"/>
      <c r="HH247" s="692"/>
      <c r="HI247" s="692"/>
      <c r="HJ247" s="692"/>
      <c r="HK247" s="692"/>
      <c r="HL247" s="692"/>
      <c r="HM247" s="692"/>
      <c r="HN247" s="692"/>
      <c r="HO247" s="692"/>
      <c r="HP247" s="692"/>
      <c r="HQ247" s="692"/>
      <c r="HR247" s="692"/>
      <c r="HS247" s="692"/>
      <c r="HT247" s="692"/>
      <c r="HU247" s="692"/>
      <c r="HV247" s="692"/>
      <c r="HW247" s="692"/>
      <c r="HX247" s="692"/>
      <c r="HY247" s="692"/>
      <c r="HZ247" s="692"/>
      <c r="IA247" s="692"/>
      <c r="IB247" s="692"/>
      <c r="IC247" s="692"/>
      <c r="ID247" s="692"/>
      <c r="IE247" s="692"/>
      <c r="IF247" s="692"/>
      <c r="IG247" s="692"/>
      <c r="IH247" s="692"/>
      <c r="II247" s="692"/>
      <c r="IJ247" s="692"/>
      <c r="IK247" s="692"/>
      <c r="IL247" s="692"/>
      <c r="IM247" s="692"/>
      <c r="IN247" s="692"/>
      <c r="IO247" s="692"/>
      <c r="IP247" s="692"/>
      <c r="IQ247" s="692"/>
      <c r="IR247" s="692"/>
      <c r="IS247" s="692"/>
      <c r="IT247" s="692"/>
      <c r="IU247" s="692"/>
      <c r="IV247" s="692"/>
      <c r="IW247" s="692"/>
      <c r="IX247" s="692"/>
      <c r="IY247" s="692"/>
      <c r="IZ247" s="692"/>
      <c r="JA247" s="692"/>
      <c r="JB247" s="692"/>
      <c r="JC247" s="692"/>
      <c r="JD247" s="692"/>
      <c r="JE247" s="692"/>
      <c r="JF247" s="692"/>
      <c r="JG247" s="692"/>
      <c r="JH247" s="692"/>
      <c r="JI247" s="692"/>
      <c r="JJ247" s="692"/>
      <c r="JK247" s="692"/>
      <c r="JL247" s="692"/>
      <c r="JM247" s="692"/>
      <c r="JN247" s="692"/>
      <c r="JO247" s="692"/>
      <c r="JP247" s="692"/>
      <c r="JQ247" s="692"/>
      <c r="JR247" s="692"/>
      <c r="JS247" s="692"/>
      <c r="JT247" s="692"/>
      <c r="JU247" s="692"/>
      <c r="JV247" s="692"/>
      <c r="JW247" s="692"/>
      <c r="JX247" s="692"/>
      <c r="JY247" s="692"/>
      <c r="JZ247" s="692"/>
      <c r="KA247" s="692"/>
      <c r="KB247" s="692"/>
      <c r="KC247" s="692"/>
      <c r="KD247" s="692"/>
      <c r="KE247" s="692"/>
      <c r="KF247" s="692"/>
      <c r="KG247" s="692"/>
      <c r="KH247" s="692"/>
      <c r="KI247" s="692"/>
      <c r="KJ247" s="692"/>
      <c r="KK247" s="692"/>
      <c r="KL247" s="692"/>
      <c r="KM247" s="692"/>
      <c r="KN247" s="692"/>
      <c r="KO247" s="692"/>
      <c r="KP247" s="692"/>
      <c r="KQ247" s="692"/>
      <c r="KR247" s="692"/>
      <c r="KS247" s="692"/>
      <c r="KT247" s="692"/>
      <c r="KU247" s="692"/>
      <c r="KV247" s="692"/>
      <c r="KW247" s="692"/>
      <c r="KX247" s="692"/>
      <c r="KY247" s="692"/>
      <c r="KZ247" s="692"/>
      <c r="LA247" s="692"/>
      <c r="LB247" s="692"/>
      <c r="LC247" s="692"/>
      <c r="LD247" s="692"/>
      <c r="LE247" s="692"/>
      <c r="LF247" s="692"/>
      <c r="LG247" s="692"/>
      <c r="LH247" s="692"/>
      <c r="LI247" s="692"/>
      <c r="LJ247" s="692"/>
      <c r="LK247" s="692"/>
      <c r="LL247" s="692"/>
      <c r="LM247" s="692"/>
      <c r="LN247" s="692"/>
      <c r="LO247" s="692"/>
      <c r="LP247" s="692"/>
      <c r="LQ247" s="692"/>
      <c r="LR247" s="692"/>
      <c r="LS247" s="692"/>
      <c r="LT247" s="692"/>
      <c r="LU247" s="692"/>
      <c r="LV247" s="692"/>
      <c r="LW247" s="692"/>
      <c r="LX247" s="692"/>
      <c r="LY247" s="692"/>
      <c r="LZ247" s="692"/>
      <c r="MA247" s="692"/>
      <c r="MB247" s="692"/>
      <c r="MC247" s="692"/>
      <c r="MD247" s="692"/>
      <c r="ME247" s="692"/>
      <c r="MF247" s="692"/>
      <c r="MG247" s="692"/>
      <c r="MH247" s="692"/>
      <c r="MI247" s="692"/>
      <c r="MJ247" s="692"/>
      <c r="MK247" s="692"/>
      <c r="ML247" s="692"/>
      <c r="MM247" s="692"/>
      <c r="MN247" s="692"/>
      <c r="MO247" s="692"/>
      <c r="MP247" s="692"/>
      <c r="MQ247" s="692"/>
      <c r="MR247" s="692"/>
      <c r="MS247" s="692"/>
      <c r="MT247" s="692"/>
      <c r="MU247" s="692"/>
      <c r="MV247" s="692"/>
      <c r="MW247" s="692"/>
      <c r="MX247" s="692"/>
      <c r="MY247" s="692"/>
      <c r="MZ247" s="692"/>
      <c r="NA247" s="692"/>
      <c r="NB247" s="692"/>
      <c r="NC247" s="692"/>
      <c r="ND247" s="692"/>
      <c r="NE247" s="692"/>
      <c r="NF247" s="692"/>
      <c r="NG247" s="692"/>
      <c r="NH247" s="692"/>
      <c r="NI247" s="692"/>
      <c r="NJ247" s="692"/>
      <c r="NK247" s="692"/>
      <c r="NL247" s="692"/>
      <c r="NM247" s="692"/>
      <c r="NN247" s="692"/>
      <c r="NO247" s="692"/>
      <c r="NP247" s="692"/>
      <c r="NQ247" s="692"/>
      <c r="NR247" s="692"/>
    </row>
    <row r="248" spans="1:382" ht="16.5" thickBot="1" x14ac:dyDescent="0.35">
      <c r="A248" s="680"/>
      <c r="B248" s="29" t="s">
        <v>1064</v>
      </c>
      <c r="C248" s="747">
        <f>'Input Data'!$E$302</f>
        <v>0</v>
      </c>
      <c r="D248" s="29" t="s">
        <v>1707</v>
      </c>
      <c r="E248" s="25"/>
      <c r="F248" s="203"/>
      <c r="G248" s="692"/>
      <c r="H248" s="692"/>
      <c r="I248" s="692"/>
      <c r="J248" s="692"/>
      <c r="K248" s="692"/>
      <c r="L248" s="692"/>
      <c r="M248" s="692"/>
      <c r="N248" s="692"/>
      <c r="O248" s="692"/>
      <c r="P248" s="692"/>
      <c r="Q248" s="692"/>
      <c r="R248" s="692"/>
      <c r="S248" s="692"/>
      <c r="T248" s="692"/>
      <c r="U248" s="692"/>
      <c r="V248" s="692"/>
      <c r="W248" s="692"/>
      <c r="X248" s="692"/>
      <c r="Y248" s="692"/>
      <c r="Z248" s="692"/>
      <c r="AA248" s="692"/>
      <c r="AB248" s="692"/>
      <c r="AC248" s="692"/>
      <c r="AD248" s="692"/>
      <c r="AE248" s="692"/>
      <c r="AF248" s="692"/>
      <c r="AG248" s="692"/>
      <c r="AH248" s="692"/>
      <c r="AI248" s="692"/>
      <c r="AJ248" s="692"/>
      <c r="AK248" s="692"/>
      <c r="AL248" s="692"/>
      <c r="AM248" s="692"/>
      <c r="AN248" s="692"/>
      <c r="AO248" s="692"/>
      <c r="AP248" s="692"/>
      <c r="AQ248" s="692"/>
      <c r="AR248" s="692"/>
      <c r="AS248" s="692"/>
      <c r="AT248" s="692"/>
      <c r="AU248" s="692"/>
      <c r="AV248" s="692"/>
      <c r="AW248" s="692"/>
      <c r="AX248" s="692"/>
      <c r="AY248" s="692"/>
      <c r="AZ248" s="692"/>
      <c r="BA248" s="692"/>
      <c r="BB248" s="692"/>
      <c r="BC248" s="692"/>
      <c r="BD248" s="692"/>
      <c r="BE248" s="692"/>
      <c r="BF248" s="692"/>
      <c r="BG248" s="692"/>
      <c r="BH248" s="692"/>
      <c r="BI248" s="692"/>
      <c r="BJ248" s="692"/>
      <c r="BK248" s="692"/>
      <c r="BL248" s="692"/>
      <c r="BM248" s="692"/>
      <c r="BN248" s="692"/>
      <c r="BO248" s="692"/>
      <c r="BP248" s="692"/>
      <c r="BQ248" s="692"/>
      <c r="BR248" s="692"/>
      <c r="BS248" s="692"/>
      <c r="BT248" s="692"/>
      <c r="BU248" s="692"/>
      <c r="BV248" s="692"/>
      <c r="BW248" s="692"/>
      <c r="BX248" s="692"/>
      <c r="BY248" s="692"/>
      <c r="BZ248" s="692"/>
      <c r="CA248" s="692"/>
      <c r="CB248" s="692"/>
      <c r="CC248" s="692"/>
      <c r="CD248" s="692"/>
      <c r="CE248" s="692"/>
      <c r="CF248" s="692"/>
      <c r="CG248" s="692"/>
      <c r="CH248" s="692"/>
      <c r="CI248" s="692"/>
      <c r="CJ248" s="692"/>
      <c r="CK248" s="692"/>
      <c r="CL248" s="692"/>
      <c r="CM248" s="692"/>
      <c r="CN248" s="692"/>
      <c r="CO248" s="692"/>
      <c r="CP248" s="692"/>
      <c r="CQ248" s="692"/>
      <c r="CR248" s="692"/>
      <c r="CS248" s="692"/>
      <c r="CT248" s="692"/>
      <c r="CU248" s="692"/>
      <c r="CV248" s="692"/>
      <c r="CW248" s="692"/>
      <c r="CX248" s="692"/>
      <c r="CY248" s="692"/>
      <c r="CZ248" s="692"/>
      <c r="DA248" s="692"/>
      <c r="DB248" s="692"/>
      <c r="DC248" s="692"/>
      <c r="DD248" s="692"/>
      <c r="DE248" s="692"/>
      <c r="DF248" s="692"/>
      <c r="DG248" s="692"/>
      <c r="DH248" s="692"/>
      <c r="DI248" s="692"/>
      <c r="DJ248" s="692"/>
      <c r="DK248" s="692"/>
      <c r="DL248" s="692"/>
      <c r="DM248" s="692"/>
      <c r="DN248" s="692"/>
      <c r="DO248" s="692"/>
      <c r="DP248" s="692"/>
      <c r="DQ248" s="692"/>
      <c r="DR248" s="692"/>
      <c r="DS248" s="692"/>
      <c r="DT248" s="692"/>
      <c r="DU248" s="692"/>
      <c r="DV248" s="692"/>
      <c r="DW248" s="692"/>
      <c r="DX248" s="692"/>
      <c r="DY248" s="692"/>
      <c r="DZ248" s="692"/>
      <c r="EA248" s="692"/>
      <c r="EB248" s="692"/>
      <c r="EC248" s="692"/>
      <c r="ED248" s="692"/>
      <c r="EE248" s="692"/>
      <c r="EF248" s="692"/>
      <c r="EG248" s="692"/>
      <c r="EH248" s="692"/>
      <c r="EI248" s="692"/>
      <c r="EJ248" s="692"/>
      <c r="EK248" s="692"/>
      <c r="EL248" s="692"/>
      <c r="EM248" s="692"/>
      <c r="EN248" s="692"/>
      <c r="EO248" s="692"/>
      <c r="EP248" s="692"/>
      <c r="EQ248" s="692"/>
      <c r="ER248" s="692"/>
      <c r="ES248" s="692"/>
      <c r="ET248" s="692"/>
      <c r="EU248" s="692"/>
      <c r="EV248" s="692"/>
      <c r="EW248" s="692"/>
      <c r="EX248" s="692"/>
      <c r="EY248" s="692"/>
      <c r="EZ248" s="692"/>
      <c r="FA248" s="692"/>
      <c r="FB248" s="692"/>
      <c r="FC248" s="692"/>
      <c r="FD248" s="692"/>
      <c r="FE248" s="692"/>
      <c r="FF248" s="692"/>
      <c r="FG248" s="692"/>
      <c r="FH248" s="692"/>
      <c r="FI248" s="692"/>
      <c r="FJ248" s="692"/>
      <c r="FK248" s="692"/>
      <c r="FL248" s="692"/>
      <c r="FM248" s="692"/>
      <c r="FN248" s="692"/>
      <c r="FO248" s="692"/>
      <c r="FP248" s="692"/>
      <c r="FQ248" s="692"/>
      <c r="FR248" s="692"/>
      <c r="FS248" s="692"/>
      <c r="FT248" s="692"/>
      <c r="FU248" s="692"/>
      <c r="FV248" s="692"/>
      <c r="FW248" s="692"/>
      <c r="FX248" s="692"/>
      <c r="FY248" s="692"/>
      <c r="FZ248" s="692"/>
      <c r="GA248" s="692"/>
      <c r="GB248" s="692"/>
      <c r="GC248" s="692"/>
      <c r="GD248" s="692"/>
      <c r="GE248" s="692"/>
      <c r="GF248" s="692"/>
      <c r="GG248" s="692"/>
      <c r="GH248" s="692"/>
      <c r="GI248" s="692"/>
      <c r="GJ248" s="692"/>
      <c r="GK248" s="692"/>
      <c r="GL248" s="692"/>
      <c r="GM248" s="692"/>
      <c r="GN248" s="692"/>
      <c r="GO248" s="692"/>
      <c r="GP248" s="692"/>
      <c r="GQ248" s="692"/>
      <c r="GR248" s="692"/>
      <c r="GS248" s="692"/>
      <c r="GT248" s="692"/>
      <c r="GU248" s="692"/>
      <c r="GV248" s="692"/>
      <c r="GW248" s="692"/>
      <c r="GX248" s="692"/>
      <c r="GY248" s="692"/>
      <c r="GZ248" s="692"/>
      <c r="HA248" s="692"/>
      <c r="HB248" s="692"/>
      <c r="HC248" s="692"/>
      <c r="HD248" s="692"/>
      <c r="HE248" s="692"/>
      <c r="HF248" s="692"/>
      <c r="HG248" s="692"/>
      <c r="HH248" s="692"/>
      <c r="HI248" s="692"/>
      <c r="HJ248" s="692"/>
      <c r="HK248" s="692"/>
      <c r="HL248" s="692"/>
      <c r="HM248" s="692"/>
      <c r="HN248" s="692"/>
      <c r="HO248" s="692"/>
      <c r="HP248" s="692"/>
      <c r="HQ248" s="692"/>
      <c r="HR248" s="692"/>
      <c r="HS248" s="692"/>
      <c r="HT248" s="692"/>
      <c r="HU248" s="692"/>
      <c r="HV248" s="692"/>
      <c r="HW248" s="692"/>
      <c r="HX248" s="692"/>
      <c r="HY248" s="692"/>
      <c r="HZ248" s="692"/>
      <c r="IA248" s="692"/>
      <c r="IB248" s="692"/>
      <c r="IC248" s="692"/>
      <c r="ID248" s="692"/>
      <c r="IE248" s="692"/>
      <c r="IF248" s="692"/>
      <c r="IG248" s="692"/>
      <c r="IH248" s="692"/>
      <c r="II248" s="692"/>
      <c r="IJ248" s="692"/>
      <c r="IK248" s="692"/>
      <c r="IL248" s="692"/>
      <c r="IM248" s="692"/>
      <c r="IN248" s="692"/>
      <c r="IO248" s="692"/>
      <c r="IP248" s="692"/>
      <c r="IQ248" s="692"/>
      <c r="IR248" s="692"/>
      <c r="IS248" s="692"/>
      <c r="IT248" s="692"/>
      <c r="IU248" s="692"/>
      <c r="IV248" s="692"/>
      <c r="IW248" s="692"/>
      <c r="IX248" s="692"/>
      <c r="IY248" s="692"/>
      <c r="IZ248" s="692"/>
      <c r="JA248" s="692"/>
      <c r="JB248" s="692"/>
      <c r="JC248" s="692"/>
      <c r="JD248" s="692"/>
      <c r="JE248" s="692"/>
      <c r="JF248" s="692"/>
      <c r="JG248" s="692"/>
      <c r="JH248" s="692"/>
      <c r="JI248" s="692"/>
      <c r="JJ248" s="692"/>
      <c r="JK248" s="692"/>
      <c r="JL248" s="692"/>
      <c r="JM248" s="692"/>
      <c r="JN248" s="692"/>
      <c r="JO248" s="692"/>
      <c r="JP248" s="692"/>
      <c r="JQ248" s="692"/>
      <c r="JR248" s="692"/>
      <c r="JS248" s="692"/>
      <c r="JT248" s="692"/>
      <c r="JU248" s="692"/>
      <c r="JV248" s="692"/>
      <c r="JW248" s="692"/>
      <c r="JX248" s="692"/>
      <c r="JY248" s="692"/>
      <c r="JZ248" s="692"/>
      <c r="KA248" s="692"/>
      <c r="KB248" s="692"/>
      <c r="KC248" s="692"/>
      <c r="KD248" s="692"/>
      <c r="KE248" s="692"/>
      <c r="KF248" s="692"/>
      <c r="KG248" s="692"/>
      <c r="KH248" s="692"/>
      <c r="KI248" s="692"/>
      <c r="KJ248" s="692"/>
      <c r="KK248" s="692"/>
      <c r="KL248" s="692"/>
      <c r="KM248" s="692"/>
      <c r="KN248" s="692"/>
      <c r="KO248" s="692"/>
      <c r="KP248" s="692"/>
      <c r="KQ248" s="692"/>
      <c r="KR248" s="692"/>
      <c r="KS248" s="692"/>
      <c r="KT248" s="692"/>
      <c r="KU248" s="692"/>
      <c r="KV248" s="692"/>
      <c r="KW248" s="692"/>
      <c r="KX248" s="692"/>
      <c r="KY248" s="692"/>
      <c r="KZ248" s="692"/>
      <c r="LA248" s="692"/>
      <c r="LB248" s="692"/>
      <c r="LC248" s="692"/>
      <c r="LD248" s="692"/>
      <c r="LE248" s="692"/>
      <c r="LF248" s="692"/>
      <c r="LG248" s="692"/>
      <c r="LH248" s="692"/>
      <c r="LI248" s="692"/>
      <c r="LJ248" s="692"/>
      <c r="LK248" s="692"/>
      <c r="LL248" s="692"/>
      <c r="LM248" s="692"/>
      <c r="LN248" s="692"/>
      <c r="LO248" s="692"/>
      <c r="LP248" s="692"/>
      <c r="LQ248" s="692"/>
      <c r="LR248" s="692"/>
      <c r="LS248" s="692"/>
      <c r="LT248" s="692"/>
      <c r="LU248" s="692"/>
      <c r="LV248" s="692"/>
      <c r="LW248" s="692"/>
      <c r="LX248" s="692"/>
      <c r="LY248" s="692"/>
      <c r="LZ248" s="692"/>
      <c r="MA248" s="692"/>
      <c r="MB248" s="692"/>
      <c r="MC248" s="692"/>
      <c r="MD248" s="692"/>
      <c r="ME248" s="692"/>
      <c r="MF248" s="692"/>
      <c r="MG248" s="692"/>
      <c r="MH248" s="692"/>
      <c r="MI248" s="692"/>
      <c r="MJ248" s="692"/>
      <c r="MK248" s="692"/>
      <c r="ML248" s="692"/>
      <c r="MM248" s="692"/>
      <c r="MN248" s="692"/>
      <c r="MO248" s="692"/>
      <c r="MP248" s="692"/>
      <c r="MQ248" s="692"/>
      <c r="MR248" s="692"/>
      <c r="MS248" s="692"/>
      <c r="MT248" s="692"/>
      <c r="MU248" s="692"/>
      <c r="MV248" s="692"/>
      <c r="MW248" s="692"/>
      <c r="MX248" s="692"/>
      <c r="MY248" s="692"/>
      <c r="MZ248" s="692"/>
      <c r="NA248" s="692"/>
      <c r="NB248" s="692"/>
      <c r="NC248" s="692"/>
      <c r="ND248" s="692"/>
      <c r="NE248" s="692"/>
      <c r="NF248" s="692"/>
      <c r="NG248" s="692"/>
      <c r="NH248" s="692"/>
      <c r="NI248" s="692"/>
      <c r="NJ248" s="692"/>
      <c r="NK248" s="692"/>
      <c r="NL248" s="692"/>
      <c r="NM248" s="692"/>
      <c r="NN248" s="692"/>
      <c r="NO248" s="692"/>
      <c r="NP248" s="692"/>
      <c r="NQ248" s="692"/>
      <c r="NR248" s="692"/>
    </row>
    <row r="249" spans="1:382" ht="16.5" x14ac:dyDescent="0.25">
      <c r="A249" s="680"/>
      <c r="B249" s="680" t="s">
        <v>1708</v>
      </c>
      <c r="C249" s="510" t="e">
        <f>C248*1000/C229</f>
        <v>#DIV/0!</v>
      </c>
      <c r="D249" s="680" t="s">
        <v>1709</v>
      </c>
      <c r="E249" s="25"/>
      <c r="F249" s="203"/>
      <c r="G249" s="692"/>
      <c r="H249" s="692"/>
      <c r="I249" s="692"/>
      <c r="J249" s="692"/>
      <c r="K249" s="692"/>
      <c r="L249" s="692"/>
      <c r="M249" s="692"/>
      <c r="N249" s="692"/>
      <c r="O249" s="692"/>
      <c r="P249" s="692"/>
      <c r="Q249" s="692"/>
      <c r="R249" s="692"/>
      <c r="S249" s="692"/>
      <c r="T249" s="692"/>
      <c r="U249" s="692"/>
      <c r="V249" s="692"/>
      <c r="W249" s="692"/>
      <c r="X249" s="692"/>
      <c r="Y249" s="692"/>
      <c r="Z249" s="692"/>
      <c r="AA249" s="692"/>
      <c r="AB249" s="692"/>
      <c r="AC249" s="692"/>
      <c r="AD249" s="692"/>
      <c r="AE249" s="692"/>
      <c r="AF249" s="692"/>
      <c r="AG249" s="692"/>
      <c r="AH249" s="692"/>
      <c r="AI249" s="692"/>
      <c r="AJ249" s="692"/>
      <c r="AK249" s="692"/>
      <c r="AL249" s="692"/>
      <c r="AM249" s="692"/>
      <c r="AN249" s="692"/>
      <c r="AO249" s="692"/>
      <c r="AP249" s="692"/>
      <c r="AQ249" s="692"/>
      <c r="AR249" s="692"/>
      <c r="AS249" s="692"/>
      <c r="AT249" s="692"/>
      <c r="AU249" s="692"/>
      <c r="AV249" s="692"/>
      <c r="AW249" s="692"/>
      <c r="AX249" s="692"/>
      <c r="AY249" s="692"/>
      <c r="AZ249" s="692"/>
      <c r="BA249" s="692"/>
      <c r="BB249" s="692"/>
      <c r="BC249" s="692"/>
      <c r="BD249" s="692"/>
      <c r="BE249" s="692"/>
      <c r="BF249" s="692"/>
      <c r="BG249" s="692"/>
      <c r="BH249" s="692"/>
      <c r="BI249" s="692"/>
      <c r="BJ249" s="692"/>
      <c r="BK249" s="692"/>
      <c r="BL249" s="692"/>
      <c r="BM249" s="692"/>
      <c r="BN249" s="692"/>
      <c r="BO249" s="692"/>
      <c r="BP249" s="692"/>
      <c r="BQ249" s="692"/>
      <c r="BR249" s="692"/>
      <c r="BS249" s="692"/>
      <c r="BT249" s="692"/>
      <c r="BU249" s="692"/>
      <c r="BV249" s="692"/>
      <c r="BW249" s="692"/>
      <c r="BX249" s="692"/>
      <c r="BY249" s="692"/>
      <c r="BZ249" s="692"/>
      <c r="CA249" s="692"/>
      <c r="CB249" s="692"/>
      <c r="CC249" s="692"/>
      <c r="CD249" s="692"/>
      <c r="CE249" s="692"/>
      <c r="CF249" s="692"/>
      <c r="CG249" s="692"/>
      <c r="CH249" s="692"/>
      <c r="CI249" s="692"/>
      <c r="CJ249" s="692"/>
      <c r="CK249" s="692"/>
      <c r="CL249" s="692"/>
      <c r="CM249" s="692"/>
      <c r="CN249" s="692"/>
      <c r="CO249" s="692"/>
      <c r="CP249" s="692"/>
      <c r="CQ249" s="692"/>
      <c r="CR249" s="692"/>
      <c r="CS249" s="692"/>
      <c r="CT249" s="692"/>
      <c r="CU249" s="692"/>
      <c r="CV249" s="692"/>
      <c r="CW249" s="692"/>
      <c r="CX249" s="692"/>
      <c r="CY249" s="692"/>
      <c r="CZ249" s="692"/>
      <c r="DA249" s="692"/>
      <c r="DB249" s="692"/>
      <c r="DC249" s="692"/>
      <c r="DD249" s="692"/>
      <c r="DE249" s="692"/>
      <c r="DF249" s="692"/>
      <c r="DG249" s="692"/>
      <c r="DH249" s="692"/>
      <c r="DI249" s="692"/>
      <c r="DJ249" s="692"/>
      <c r="DK249" s="692"/>
      <c r="DL249" s="692"/>
      <c r="DM249" s="692"/>
      <c r="DN249" s="692"/>
      <c r="DO249" s="692"/>
      <c r="DP249" s="692"/>
      <c r="DQ249" s="692"/>
      <c r="DR249" s="692"/>
      <c r="DS249" s="692"/>
      <c r="DT249" s="692"/>
      <c r="DU249" s="692"/>
      <c r="DV249" s="692"/>
      <c r="DW249" s="692"/>
      <c r="DX249" s="692"/>
      <c r="DY249" s="692"/>
      <c r="DZ249" s="692"/>
      <c r="EA249" s="692"/>
      <c r="EB249" s="692"/>
      <c r="EC249" s="692"/>
      <c r="ED249" s="692"/>
      <c r="EE249" s="692"/>
      <c r="EF249" s="692"/>
      <c r="EG249" s="692"/>
      <c r="EH249" s="692"/>
      <c r="EI249" s="692"/>
      <c r="EJ249" s="692"/>
      <c r="EK249" s="692"/>
      <c r="EL249" s="692"/>
      <c r="EM249" s="692"/>
      <c r="EN249" s="692"/>
      <c r="EO249" s="692"/>
      <c r="EP249" s="692"/>
      <c r="EQ249" s="692"/>
      <c r="ER249" s="692"/>
      <c r="ES249" s="692"/>
      <c r="ET249" s="692"/>
      <c r="EU249" s="692"/>
      <c r="EV249" s="692"/>
      <c r="EW249" s="692"/>
      <c r="EX249" s="692"/>
      <c r="EY249" s="692"/>
      <c r="EZ249" s="692"/>
      <c r="FA249" s="692"/>
      <c r="FB249" s="692"/>
      <c r="FC249" s="692"/>
      <c r="FD249" s="692"/>
      <c r="FE249" s="692"/>
      <c r="FF249" s="692"/>
      <c r="FG249" s="692"/>
      <c r="FH249" s="692"/>
      <c r="FI249" s="692"/>
      <c r="FJ249" s="692"/>
      <c r="FK249" s="692"/>
      <c r="FL249" s="692"/>
      <c r="FM249" s="692"/>
      <c r="FN249" s="692"/>
      <c r="FO249" s="692"/>
      <c r="FP249" s="692"/>
      <c r="FQ249" s="692"/>
      <c r="FR249" s="692"/>
      <c r="FS249" s="692"/>
      <c r="FT249" s="692"/>
      <c r="FU249" s="692"/>
      <c r="FV249" s="692"/>
      <c r="FW249" s="692"/>
      <c r="FX249" s="692"/>
      <c r="FY249" s="692"/>
      <c r="FZ249" s="692"/>
      <c r="GA249" s="692"/>
      <c r="GB249" s="692"/>
      <c r="GC249" s="692"/>
      <c r="GD249" s="692"/>
      <c r="GE249" s="692"/>
      <c r="GF249" s="692"/>
      <c r="GG249" s="692"/>
      <c r="GH249" s="692"/>
      <c r="GI249" s="692"/>
      <c r="GJ249" s="692"/>
      <c r="GK249" s="692"/>
      <c r="GL249" s="692"/>
      <c r="GM249" s="692"/>
      <c r="GN249" s="692"/>
      <c r="GO249" s="692"/>
      <c r="GP249" s="692"/>
      <c r="GQ249" s="692"/>
      <c r="GR249" s="692"/>
      <c r="GS249" s="692"/>
      <c r="GT249" s="692"/>
      <c r="GU249" s="692"/>
      <c r="GV249" s="692"/>
      <c r="GW249" s="692"/>
      <c r="GX249" s="692"/>
      <c r="GY249" s="692"/>
      <c r="GZ249" s="692"/>
      <c r="HA249" s="692"/>
      <c r="HB249" s="692"/>
      <c r="HC249" s="692"/>
      <c r="HD249" s="692"/>
      <c r="HE249" s="692"/>
      <c r="HF249" s="692"/>
      <c r="HG249" s="692"/>
      <c r="HH249" s="692"/>
      <c r="HI249" s="692"/>
      <c r="HJ249" s="692"/>
      <c r="HK249" s="692"/>
      <c r="HL249" s="692"/>
      <c r="HM249" s="692"/>
      <c r="HN249" s="692"/>
      <c r="HO249" s="692"/>
      <c r="HP249" s="692"/>
      <c r="HQ249" s="692"/>
      <c r="HR249" s="692"/>
      <c r="HS249" s="692"/>
      <c r="HT249" s="692"/>
      <c r="HU249" s="692"/>
      <c r="HV249" s="692"/>
      <c r="HW249" s="692"/>
      <c r="HX249" s="692"/>
      <c r="HY249" s="692"/>
      <c r="HZ249" s="692"/>
      <c r="IA249" s="692"/>
      <c r="IB249" s="692"/>
      <c r="IC249" s="692"/>
      <c r="ID249" s="692"/>
      <c r="IE249" s="692"/>
      <c r="IF249" s="692"/>
      <c r="IG249" s="692"/>
      <c r="IH249" s="692"/>
      <c r="II249" s="692"/>
      <c r="IJ249" s="692"/>
      <c r="IK249" s="692"/>
      <c r="IL249" s="692"/>
      <c r="IM249" s="692"/>
      <c r="IN249" s="692"/>
      <c r="IO249" s="692"/>
      <c r="IP249" s="692"/>
      <c r="IQ249" s="692"/>
      <c r="IR249" s="692"/>
      <c r="IS249" s="692"/>
      <c r="IT249" s="692"/>
      <c r="IU249" s="692"/>
      <c r="IV249" s="692"/>
      <c r="IW249" s="692"/>
      <c r="IX249" s="692"/>
      <c r="IY249" s="692"/>
      <c r="IZ249" s="692"/>
      <c r="JA249" s="692"/>
      <c r="JB249" s="692"/>
      <c r="JC249" s="692"/>
      <c r="JD249" s="692"/>
      <c r="JE249" s="692"/>
      <c r="JF249" s="692"/>
      <c r="JG249" s="692"/>
      <c r="JH249" s="692"/>
      <c r="JI249" s="692"/>
      <c r="JJ249" s="692"/>
      <c r="JK249" s="692"/>
      <c r="JL249" s="692"/>
      <c r="JM249" s="692"/>
      <c r="JN249" s="692"/>
      <c r="JO249" s="692"/>
      <c r="JP249" s="692"/>
      <c r="JQ249" s="692"/>
      <c r="JR249" s="692"/>
      <c r="JS249" s="692"/>
      <c r="JT249" s="692"/>
      <c r="JU249" s="692"/>
      <c r="JV249" s="692"/>
      <c r="JW249" s="692"/>
      <c r="JX249" s="692"/>
      <c r="JY249" s="692"/>
      <c r="JZ249" s="692"/>
      <c r="KA249" s="692"/>
      <c r="KB249" s="692"/>
      <c r="KC249" s="692"/>
      <c r="KD249" s="692"/>
      <c r="KE249" s="692"/>
      <c r="KF249" s="692"/>
      <c r="KG249" s="692"/>
      <c r="KH249" s="692"/>
      <c r="KI249" s="692"/>
      <c r="KJ249" s="692"/>
      <c r="KK249" s="692"/>
      <c r="KL249" s="692"/>
      <c r="KM249" s="692"/>
      <c r="KN249" s="692"/>
      <c r="KO249" s="692"/>
      <c r="KP249" s="692"/>
      <c r="KQ249" s="692"/>
      <c r="KR249" s="692"/>
      <c r="KS249" s="692"/>
      <c r="KT249" s="692"/>
      <c r="KU249" s="692"/>
      <c r="KV249" s="692"/>
      <c r="KW249" s="692"/>
      <c r="KX249" s="692"/>
      <c r="KY249" s="692"/>
      <c r="KZ249" s="692"/>
      <c r="LA249" s="692"/>
      <c r="LB249" s="692"/>
      <c r="LC249" s="692"/>
      <c r="LD249" s="692"/>
      <c r="LE249" s="692"/>
      <c r="LF249" s="692"/>
      <c r="LG249" s="692"/>
      <c r="LH249" s="692"/>
      <c r="LI249" s="692"/>
      <c r="LJ249" s="692"/>
      <c r="LK249" s="692"/>
      <c r="LL249" s="692"/>
      <c r="LM249" s="692"/>
      <c r="LN249" s="692"/>
      <c r="LO249" s="692"/>
      <c r="LP249" s="692"/>
      <c r="LQ249" s="692"/>
      <c r="LR249" s="692"/>
      <c r="LS249" s="692"/>
      <c r="LT249" s="692"/>
      <c r="LU249" s="692"/>
      <c r="LV249" s="692"/>
      <c r="LW249" s="692"/>
      <c r="LX249" s="692"/>
      <c r="LY249" s="692"/>
      <c r="LZ249" s="692"/>
      <c r="MA249" s="692"/>
      <c r="MB249" s="692"/>
      <c r="MC249" s="692"/>
      <c r="MD249" s="692"/>
      <c r="ME249" s="692"/>
      <c r="MF249" s="692"/>
      <c r="MG249" s="692"/>
      <c r="MH249" s="692"/>
      <c r="MI249" s="692"/>
      <c r="MJ249" s="692"/>
      <c r="MK249" s="692"/>
      <c r="ML249" s="692"/>
      <c r="MM249" s="692"/>
      <c r="MN249" s="692"/>
      <c r="MO249" s="692"/>
      <c r="MP249" s="692"/>
      <c r="MQ249" s="692"/>
      <c r="MR249" s="692"/>
      <c r="MS249" s="692"/>
      <c r="MT249" s="692"/>
      <c r="MU249" s="692"/>
      <c r="MV249" s="692"/>
      <c r="MW249" s="692"/>
      <c r="MX249" s="692"/>
      <c r="MY249" s="692"/>
      <c r="MZ249" s="692"/>
      <c r="NA249" s="692"/>
      <c r="NB249" s="692"/>
      <c r="NC249" s="692"/>
      <c r="ND249" s="692"/>
      <c r="NE249" s="692"/>
      <c r="NF249" s="692"/>
      <c r="NG249" s="692"/>
      <c r="NH249" s="692"/>
      <c r="NI249" s="692"/>
      <c r="NJ249" s="692"/>
      <c r="NK249" s="692"/>
      <c r="NL249" s="692"/>
      <c r="NM249" s="692"/>
      <c r="NN249" s="692"/>
      <c r="NO249" s="692"/>
      <c r="NP249" s="692"/>
      <c r="NQ249" s="692"/>
      <c r="NR249" s="692"/>
    </row>
    <row r="250" spans="1:382" ht="15.75" thickBot="1" x14ac:dyDescent="0.3">
      <c r="A250" s="260"/>
      <c r="B250" s="680" t="s">
        <v>1710</v>
      </c>
      <c r="C250" s="177">
        <f>'Conversion factors'!B10</f>
        <v>0.1</v>
      </c>
      <c r="D250" s="680" t="s">
        <v>1711</v>
      </c>
      <c r="E250" s="25"/>
      <c r="F250" s="209"/>
      <c r="G250" s="692"/>
      <c r="H250" s="692"/>
      <c r="I250" s="692"/>
      <c r="J250" s="692"/>
      <c r="K250" s="692"/>
      <c r="L250" s="692"/>
      <c r="M250" s="692"/>
      <c r="N250" s="692"/>
      <c r="O250" s="692"/>
      <c r="P250" s="692"/>
      <c r="Q250" s="692"/>
      <c r="R250" s="692"/>
      <c r="S250" s="692"/>
      <c r="T250" s="692"/>
      <c r="U250" s="692"/>
      <c r="V250" s="692"/>
      <c r="W250" s="692"/>
      <c r="X250" s="692"/>
      <c r="Y250" s="692"/>
      <c r="Z250" s="692"/>
      <c r="AA250" s="692"/>
      <c r="AB250" s="692"/>
      <c r="AC250" s="692"/>
      <c r="AD250" s="692"/>
      <c r="AE250" s="692"/>
      <c r="AF250" s="692"/>
      <c r="AG250" s="692"/>
      <c r="AH250" s="692"/>
      <c r="AI250" s="692"/>
      <c r="AJ250" s="692"/>
      <c r="AK250" s="692"/>
      <c r="AL250" s="692"/>
      <c r="AM250" s="692"/>
      <c r="AN250" s="692"/>
      <c r="AO250" s="692"/>
      <c r="AP250" s="692"/>
      <c r="AQ250" s="692"/>
      <c r="AR250" s="692"/>
      <c r="AS250" s="692"/>
      <c r="AT250" s="692"/>
      <c r="AU250" s="692"/>
      <c r="AV250" s="692"/>
      <c r="AW250" s="692"/>
      <c r="AX250" s="692"/>
      <c r="AY250" s="692"/>
      <c r="AZ250" s="692"/>
      <c r="BA250" s="692"/>
      <c r="BB250" s="692"/>
      <c r="BC250" s="692"/>
      <c r="BD250" s="692"/>
      <c r="BE250" s="692"/>
      <c r="BF250" s="692"/>
      <c r="BG250" s="692"/>
      <c r="BH250" s="692"/>
      <c r="BI250" s="692"/>
      <c r="BJ250" s="692"/>
      <c r="BK250" s="692"/>
      <c r="BL250" s="692"/>
      <c r="BM250" s="692"/>
      <c r="BN250" s="692"/>
      <c r="BO250" s="692"/>
      <c r="BP250" s="692"/>
      <c r="BQ250" s="692"/>
      <c r="BR250" s="692"/>
      <c r="BS250" s="692"/>
      <c r="BT250" s="692"/>
      <c r="BU250" s="692"/>
      <c r="BV250" s="692"/>
      <c r="BW250" s="692"/>
      <c r="BX250" s="692"/>
      <c r="BY250" s="692"/>
      <c r="BZ250" s="692"/>
      <c r="CA250" s="692"/>
      <c r="CB250" s="692"/>
      <c r="CC250" s="692"/>
      <c r="CD250" s="692"/>
      <c r="CE250" s="692"/>
      <c r="CF250" s="692"/>
      <c r="CG250" s="692"/>
      <c r="CH250" s="692"/>
      <c r="CI250" s="692"/>
      <c r="CJ250" s="692"/>
      <c r="CK250" s="692"/>
      <c r="CL250" s="692"/>
      <c r="CM250" s="692"/>
      <c r="CN250" s="692"/>
      <c r="CO250" s="692"/>
      <c r="CP250" s="692"/>
      <c r="CQ250" s="692"/>
      <c r="CR250" s="692"/>
      <c r="CS250" s="692"/>
      <c r="CT250" s="692"/>
      <c r="CU250" s="692"/>
      <c r="CV250" s="692"/>
      <c r="CW250" s="692"/>
      <c r="CX250" s="692"/>
      <c r="CY250" s="692"/>
      <c r="CZ250" s="692"/>
      <c r="DA250" s="692"/>
      <c r="DB250" s="692"/>
      <c r="DC250" s="692"/>
      <c r="DD250" s="692"/>
      <c r="DE250" s="692"/>
      <c r="DF250" s="692"/>
      <c r="DG250" s="692"/>
      <c r="DH250" s="692"/>
      <c r="DI250" s="692"/>
      <c r="DJ250" s="692"/>
      <c r="DK250" s="692"/>
      <c r="DL250" s="692"/>
      <c r="DM250" s="692"/>
      <c r="DN250" s="692"/>
      <c r="DO250" s="692"/>
      <c r="DP250" s="692"/>
      <c r="DQ250" s="692"/>
      <c r="DR250" s="692"/>
      <c r="DS250" s="692"/>
      <c r="DT250" s="692"/>
      <c r="DU250" s="692"/>
      <c r="DV250" s="692"/>
      <c r="DW250" s="692"/>
      <c r="DX250" s="692"/>
      <c r="DY250" s="692"/>
      <c r="DZ250" s="692"/>
      <c r="EA250" s="692"/>
      <c r="EB250" s="692"/>
      <c r="EC250" s="692"/>
      <c r="ED250" s="692"/>
      <c r="EE250" s="692"/>
      <c r="EF250" s="692"/>
      <c r="EG250" s="692"/>
      <c r="EH250" s="692"/>
      <c r="EI250" s="692"/>
      <c r="EJ250" s="692"/>
      <c r="EK250" s="692"/>
      <c r="EL250" s="692"/>
      <c r="EM250" s="692"/>
      <c r="EN250" s="692"/>
      <c r="EO250" s="692"/>
      <c r="EP250" s="692"/>
      <c r="EQ250" s="692"/>
      <c r="ER250" s="692"/>
      <c r="ES250" s="692"/>
      <c r="ET250" s="692"/>
      <c r="EU250" s="692"/>
      <c r="EV250" s="692"/>
      <c r="EW250" s="692"/>
      <c r="EX250" s="692"/>
      <c r="EY250" s="692"/>
      <c r="EZ250" s="692"/>
      <c r="FA250" s="692"/>
      <c r="FB250" s="692"/>
      <c r="FC250" s="692"/>
      <c r="FD250" s="692"/>
      <c r="FE250" s="692"/>
      <c r="FF250" s="692"/>
      <c r="FG250" s="692"/>
      <c r="FH250" s="692"/>
      <c r="FI250" s="692"/>
      <c r="FJ250" s="692"/>
      <c r="FK250" s="692"/>
      <c r="FL250" s="692"/>
      <c r="FM250" s="692"/>
      <c r="FN250" s="692"/>
      <c r="FO250" s="692"/>
      <c r="FP250" s="692"/>
      <c r="FQ250" s="692"/>
      <c r="FR250" s="692"/>
      <c r="FS250" s="692"/>
      <c r="FT250" s="692"/>
      <c r="FU250" s="692"/>
      <c r="FV250" s="692"/>
      <c r="FW250" s="692"/>
      <c r="FX250" s="692"/>
      <c r="FY250" s="692"/>
      <c r="FZ250" s="692"/>
      <c r="GA250" s="692"/>
      <c r="GB250" s="692"/>
      <c r="GC250" s="692"/>
      <c r="GD250" s="692"/>
      <c r="GE250" s="692"/>
      <c r="GF250" s="692"/>
      <c r="GG250" s="692"/>
      <c r="GH250" s="692"/>
      <c r="GI250" s="692"/>
      <c r="GJ250" s="692"/>
      <c r="GK250" s="692"/>
      <c r="GL250" s="692"/>
      <c r="GM250" s="692"/>
      <c r="GN250" s="692"/>
      <c r="GO250" s="692"/>
      <c r="GP250" s="692"/>
      <c r="GQ250" s="692"/>
      <c r="GR250" s="692"/>
      <c r="GS250" s="692"/>
      <c r="GT250" s="692"/>
      <c r="GU250" s="692"/>
      <c r="GV250" s="692"/>
      <c r="GW250" s="692"/>
      <c r="GX250" s="692"/>
      <c r="GY250" s="692"/>
      <c r="GZ250" s="692"/>
      <c r="HA250" s="692"/>
      <c r="HB250" s="692"/>
      <c r="HC250" s="692"/>
      <c r="HD250" s="692"/>
      <c r="HE250" s="692"/>
      <c r="HF250" s="692"/>
      <c r="HG250" s="692"/>
      <c r="HH250" s="692"/>
      <c r="HI250" s="692"/>
      <c r="HJ250" s="692"/>
      <c r="HK250" s="692"/>
      <c r="HL250" s="692"/>
      <c r="HM250" s="692"/>
      <c r="HN250" s="692"/>
      <c r="HO250" s="692"/>
      <c r="HP250" s="692"/>
      <c r="HQ250" s="692"/>
      <c r="HR250" s="692"/>
      <c r="HS250" s="692"/>
      <c r="HT250" s="692"/>
      <c r="HU250" s="692"/>
      <c r="HV250" s="692"/>
      <c r="HW250" s="692"/>
      <c r="HX250" s="692"/>
      <c r="HY250" s="692"/>
      <c r="HZ250" s="692"/>
      <c r="IA250" s="692"/>
      <c r="IB250" s="692"/>
      <c r="IC250" s="692"/>
      <c r="ID250" s="692"/>
      <c r="IE250" s="692"/>
      <c r="IF250" s="692"/>
      <c r="IG250" s="692"/>
      <c r="IH250" s="692"/>
      <c r="II250" s="692"/>
      <c r="IJ250" s="692"/>
      <c r="IK250" s="692"/>
      <c r="IL250" s="692"/>
      <c r="IM250" s="692"/>
      <c r="IN250" s="692"/>
      <c r="IO250" s="692"/>
      <c r="IP250" s="692"/>
      <c r="IQ250" s="692"/>
      <c r="IR250" s="692"/>
      <c r="IS250" s="692"/>
      <c r="IT250" s="692"/>
      <c r="IU250" s="692"/>
      <c r="IV250" s="692"/>
      <c r="IW250" s="692"/>
      <c r="IX250" s="692"/>
      <c r="IY250" s="692"/>
      <c r="IZ250" s="692"/>
      <c r="JA250" s="692"/>
      <c r="JB250" s="692"/>
      <c r="JC250" s="692"/>
      <c r="JD250" s="692"/>
      <c r="JE250" s="692"/>
      <c r="JF250" s="692"/>
      <c r="JG250" s="692"/>
      <c r="JH250" s="692"/>
      <c r="JI250" s="692"/>
      <c r="JJ250" s="692"/>
      <c r="JK250" s="692"/>
      <c r="JL250" s="692"/>
      <c r="JM250" s="692"/>
      <c r="JN250" s="692"/>
      <c r="JO250" s="692"/>
      <c r="JP250" s="692"/>
      <c r="JQ250" s="692"/>
      <c r="JR250" s="692"/>
      <c r="JS250" s="692"/>
      <c r="JT250" s="692"/>
      <c r="JU250" s="692"/>
      <c r="JV250" s="692"/>
      <c r="JW250" s="692"/>
      <c r="JX250" s="692"/>
      <c r="JY250" s="692"/>
      <c r="JZ250" s="692"/>
      <c r="KA250" s="692"/>
      <c r="KB250" s="692"/>
      <c r="KC250" s="692"/>
      <c r="KD250" s="692"/>
      <c r="KE250" s="692"/>
      <c r="KF250" s="692"/>
      <c r="KG250" s="692"/>
      <c r="KH250" s="692"/>
      <c r="KI250" s="692"/>
      <c r="KJ250" s="692"/>
      <c r="KK250" s="692"/>
      <c r="KL250" s="692"/>
      <c r="KM250" s="692"/>
      <c r="KN250" s="692"/>
      <c r="KO250" s="692"/>
      <c r="KP250" s="692"/>
      <c r="KQ250" s="692"/>
      <c r="KR250" s="692"/>
      <c r="KS250" s="692"/>
      <c r="KT250" s="692"/>
      <c r="KU250" s="692"/>
      <c r="KV250" s="692"/>
      <c r="KW250" s="692"/>
      <c r="KX250" s="692"/>
      <c r="KY250" s="692"/>
      <c r="KZ250" s="692"/>
      <c r="LA250" s="692"/>
      <c r="LB250" s="692"/>
      <c r="LC250" s="692"/>
      <c r="LD250" s="692"/>
      <c r="LE250" s="692"/>
      <c r="LF250" s="692"/>
      <c r="LG250" s="692"/>
      <c r="LH250" s="692"/>
      <c r="LI250" s="692"/>
      <c r="LJ250" s="692"/>
      <c r="LK250" s="692"/>
      <c r="LL250" s="692"/>
      <c r="LM250" s="692"/>
      <c r="LN250" s="692"/>
      <c r="LO250" s="692"/>
      <c r="LP250" s="692"/>
      <c r="LQ250" s="692"/>
      <c r="LR250" s="692"/>
      <c r="LS250" s="692"/>
      <c r="LT250" s="692"/>
      <c r="LU250" s="692"/>
      <c r="LV250" s="692"/>
      <c r="LW250" s="692"/>
      <c r="LX250" s="692"/>
      <c r="LY250" s="692"/>
      <c r="LZ250" s="692"/>
      <c r="MA250" s="692"/>
      <c r="MB250" s="692"/>
      <c r="MC250" s="692"/>
      <c r="MD250" s="692"/>
      <c r="ME250" s="692"/>
      <c r="MF250" s="692"/>
      <c r="MG250" s="692"/>
      <c r="MH250" s="692"/>
      <c r="MI250" s="692"/>
      <c r="MJ250" s="692"/>
      <c r="MK250" s="692"/>
      <c r="ML250" s="692"/>
      <c r="MM250" s="692"/>
      <c r="MN250" s="692"/>
      <c r="MO250" s="692"/>
      <c r="MP250" s="692"/>
      <c r="MQ250" s="692"/>
      <c r="MR250" s="692"/>
      <c r="MS250" s="692"/>
      <c r="MT250" s="692"/>
      <c r="MU250" s="692"/>
      <c r="MV250" s="692"/>
      <c r="MW250" s="692"/>
      <c r="MX250" s="692"/>
      <c r="MY250" s="692"/>
      <c r="MZ250" s="692"/>
      <c r="NA250" s="692"/>
      <c r="NB250" s="692"/>
      <c r="NC250" s="692"/>
      <c r="ND250" s="692"/>
      <c r="NE250" s="692"/>
      <c r="NF250" s="692"/>
      <c r="NG250" s="692"/>
      <c r="NH250" s="692"/>
      <c r="NI250" s="692"/>
      <c r="NJ250" s="692"/>
      <c r="NK250" s="692"/>
      <c r="NL250" s="692"/>
      <c r="NM250" s="692"/>
      <c r="NN250" s="692"/>
      <c r="NO250" s="692"/>
      <c r="NP250" s="692"/>
      <c r="NQ250" s="692"/>
      <c r="NR250" s="692"/>
    </row>
    <row r="251" spans="1:382" ht="15.75" thickBot="1" x14ac:dyDescent="0.3">
      <c r="A251" s="680"/>
      <c r="B251" s="189" t="s">
        <v>1710</v>
      </c>
      <c r="C251" s="177">
        <f>C248*1000*C250</f>
        <v>0</v>
      </c>
      <c r="D251" s="680" t="s">
        <v>1575</v>
      </c>
      <c r="E251" s="25"/>
      <c r="F251" s="209"/>
      <c r="G251" s="692"/>
      <c r="H251" s="692"/>
      <c r="I251" s="692"/>
      <c r="J251" s="692"/>
      <c r="K251" s="692"/>
      <c r="L251" s="692"/>
      <c r="M251" s="692"/>
      <c r="N251" s="692"/>
      <c r="O251" s="692"/>
      <c r="P251" s="692"/>
      <c r="Q251" s="692"/>
      <c r="R251" s="692"/>
      <c r="S251" s="692"/>
      <c r="T251" s="692"/>
      <c r="U251" s="692"/>
      <c r="V251" s="692"/>
      <c r="W251" s="692"/>
      <c r="X251" s="692"/>
      <c r="Y251" s="692"/>
      <c r="Z251" s="692"/>
      <c r="AA251" s="692"/>
      <c r="AB251" s="692"/>
      <c r="AC251" s="692"/>
      <c r="AD251" s="692"/>
      <c r="AE251" s="692"/>
      <c r="AF251" s="692"/>
      <c r="AG251" s="692"/>
      <c r="AH251" s="692"/>
      <c r="AI251" s="692"/>
      <c r="AJ251" s="692"/>
      <c r="AK251" s="692"/>
      <c r="AL251" s="692"/>
      <c r="AM251" s="692"/>
      <c r="AN251" s="692"/>
      <c r="AO251" s="692"/>
      <c r="AP251" s="692"/>
      <c r="AQ251" s="692"/>
      <c r="AR251" s="692"/>
      <c r="AS251" s="692"/>
      <c r="AT251" s="692"/>
      <c r="AU251" s="692"/>
      <c r="AV251" s="692"/>
      <c r="AW251" s="692"/>
      <c r="AX251" s="692"/>
      <c r="AY251" s="692"/>
      <c r="AZ251" s="692"/>
      <c r="BA251" s="692"/>
      <c r="BB251" s="692"/>
      <c r="BC251" s="692"/>
      <c r="BD251" s="692"/>
      <c r="BE251" s="692"/>
      <c r="BF251" s="692"/>
      <c r="BG251" s="692"/>
      <c r="BH251" s="692"/>
      <c r="BI251" s="692"/>
      <c r="BJ251" s="692"/>
      <c r="BK251" s="692"/>
      <c r="BL251" s="692"/>
      <c r="BM251" s="692"/>
      <c r="BN251" s="692"/>
      <c r="BO251" s="692"/>
      <c r="BP251" s="692"/>
      <c r="BQ251" s="692"/>
      <c r="BR251" s="692"/>
      <c r="BS251" s="692"/>
      <c r="BT251" s="692"/>
      <c r="BU251" s="692"/>
      <c r="BV251" s="692"/>
      <c r="BW251" s="692"/>
      <c r="BX251" s="692"/>
      <c r="BY251" s="692"/>
      <c r="BZ251" s="692"/>
      <c r="CA251" s="692"/>
      <c r="CB251" s="692"/>
      <c r="CC251" s="692"/>
      <c r="CD251" s="692"/>
      <c r="CE251" s="692"/>
      <c r="CF251" s="692"/>
      <c r="CG251" s="692"/>
      <c r="CH251" s="692"/>
      <c r="CI251" s="692"/>
      <c r="CJ251" s="692"/>
      <c r="CK251" s="692"/>
      <c r="CL251" s="692"/>
      <c r="CM251" s="692"/>
      <c r="CN251" s="692"/>
      <c r="CO251" s="692"/>
      <c r="CP251" s="692"/>
      <c r="CQ251" s="692"/>
      <c r="CR251" s="692"/>
      <c r="CS251" s="692"/>
      <c r="CT251" s="692"/>
      <c r="CU251" s="692"/>
      <c r="CV251" s="692"/>
      <c r="CW251" s="692"/>
      <c r="CX251" s="692"/>
      <c r="CY251" s="692"/>
      <c r="CZ251" s="692"/>
      <c r="DA251" s="692"/>
      <c r="DB251" s="692"/>
      <c r="DC251" s="692"/>
      <c r="DD251" s="692"/>
      <c r="DE251" s="692"/>
      <c r="DF251" s="692"/>
      <c r="DG251" s="692"/>
      <c r="DH251" s="692"/>
      <c r="DI251" s="692"/>
      <c r="DJ251" s="692"/>
      <c r="DK251" s="692"/>
      <c r="DL251" s="692"/>
      <c r="DM251" s="692"/>
      <c r="DN251" s="692"/>
      <c r="DO251" s="692"/>
      <c r="DP251" s="692"/>
      <c r="DQ251" s="692"/>
      <c r="DR251" s="692"/>
      <c r="DS251" s="692"/>
      <c r="DT251" s="692"/>
      <c r="DU251" s="692"/>
      <c r="DV251" s="692"/>
      <c r="DW251" s="692"/>
      <c r="DX251" s="692"/>
      <c r="DY251" s="692"/>
      <c r="DZ251" s="692"/>
      <c r="EA251" s="692"/>
      <c r="EB251" s="692"/>
      <c r="EC251" s="692"/>
      <c r="ED251" s="692"/>
      <c r="EE251" s="692"/>
      <c r="EF251" s="692"/>
      <c r="EG251" s="692"/>
      <c r="EH251" s="692"/>
      <c r="EI251" s="692"/>
      <c r="EJ251" s="692"/>
      <c r="EK251" s="692"/>
      <c r="EL251" s="692"/>
      <c r="EM251" s="692"/>
      <c r="EN251" s="692"/>
      <c r="EO251" s="692"/>
      <c r="EP251" s="692"/>
      <c r="EQ251" s="692"/>
      <c r="ER251" s="692"/>
      <c r="ES251" s="692"/>
      <c r="ET251" s="692"/>
      <c r="EU251" s="692"/>
      <c r="EV251" s="692"/>
      <c r="EW251" s="692"/>
      <c r="EX251" s="692"/>
      <c r="EY251" s="692"/>
      <c r="EZ251" s="692"/>
      <c r="FA251" s="692"/>
      <c r="FB251" s="692"/>
      <c r="FC251" s="692"/>
      <c r="FD251" s="692"/>
      <c r="FE251" s="692"/>
      <c r="FF251" s="692"/>
      <c r="FG251" s="692"/>
      <c r="FH251" s="692"/>
      <c r="FI251" s="692"/>
      <c r="FJ251" s="692"/>
      <c r="FK251" s="692"/>
      <c r="FL251" s="692"/>
      <c r="FM251" s="692"/>
      <c r="FN251" s="692"/>
      <c r="FO251" s="692"/>
      <c r="FP251" s="692"/>
      <c r="FQ251" s="692"/>
      <c r="FR251" s="692"/>
      <c r="FS251" s="692"/>
      <c r="FT251" s="692"/>
      <c r="FU251" s="692"/>
      <c r="FV251" s="692"/>
      <c r="FW251" s="692"/>
      <c r="FX251" s="692"/>
      <c r="FY251" s="692"/>
      <c r="FZ251" s="692"/>
      <c r="GA251" s="692"/>
      <c r="GB251" s="692"/>
      <c r="GC251" s="692"/>
      <c r="GD251" s="692"/>
      <c r="GE251" s="692"/>
      <c r="GF251" s="692"/>
      <c r="GG251" s="692"/>
      <c r="GH251" s="692"/>
      <c r="GI251" s="692"/>
      <c r="GJ251" s="692"/>
      <c r="GK251" s="692"/>
      <c r="GL251" s="692"/>
      <c r="GM251" s="692"/>
      <c r="GN251" s="692"/>
      <c r="GO251" s="692"/>
      <c r="GP251" s="692"/>
      <c r="GQ251" s="692"/>
      <c r="GR251" s="692"/>
      <c r="GS251" s="692"/>
      <c r="GT251" s="692"/>
      <c r="GU251" s="692"/>
      <c r="GV251" s="692"/>
      <c r="GW251" s="692"/>
      <c r="GX251" s="692"/>
      <c r="GY251" s="692"/>
      <c r="GZ251" s="692"/>
      <c r="HA251" s="692"/>
      <c r="HB251" s="692"/>
      <c r="HC251" s="692"/>
      <c r="HD251" s="692"/>
      <c r="HE251" s="692"/>
      <c r="HF251" s="692"/>
      <c r="HG251" s="692"/>
      <c r="HH251" s="692"/>
      <c r="HI251" s="692"/>
      <c r="HJ251" s="692"/>
      <c r="HK251" s="692"/>
      <c r="HL251" s="692"/>
      <c r="HM251" s="692"/>
      <c r="HN251" s="692"/>
      <c r="HO251" s="692"/>
      <c r="HP251" s="692"/>
      <c r="HQ251" s="692"/>
      <c r="HR251" s="692"/>
      <c r="HS251" s="692"/>
      <c r="HT251" s="692"/>
      <c r="HU251" s="692"/>
      <c r="HV251" s="692"/>
      <c r="HW251" s="692"/>
      <c r="HX251" s="692"/>
      <c r="HY251" s="692"/>
      <c r="HZ251" s="692"/>
      <c r="IA251" s="692"/>
      <c r="IB251" s="692"/>
      <c r="IC251" s="692"/>
      <c r="ID251" s="692"/>
      <c r="IE251" s="692"/>
      <c r="IF251" s="692"/>
      <c r="IG251" s="692"/>
      <c r="IH251" s="692"/>
      <c r="II251" s="692"/>
      <c r="IJ251" s="692"/>
      <c r="IK251" s="692"/>
      <c r="IL251" s="692"/>
      <c r="IM251" s="692"/>
      <c r="IN251" s="692"/>
      <c r="IO251" s="692"/>
      <c r="IP251" s="692"/>
      <c r="IQ251" s="692"/>
      <c r="IR251" s="692"/>
      <c r="IS251" s="692"/>
      <c r="IT251" s="692"/>
      <c r="IU251" s="692"/>
      <c r="IV251" s="692"/>
      <c r="IW251" s="692"/>
      <c r="IX251" s="692"/>
      <c r="IY251" s="692"/>
      <c r="IZ251" s="692"/>
      <c r="JA251" s="692"/>
      <c r="JB251" s="692"/>
      <c r="JC251" s="692"/>
      <c r="JD251" s="692"/>
      <c r="JE251" s="692"/>
      <c r="JF251" s="692"/>
      <c r="JG251" s="692"/>
      <c r="JH251" s="692"/>
      <c r="JI251" s="692"/>
      <c r="JJ251" s="692"/>
      <c r="JK251" s="692"/>
      <c r="JL251" s="692"/>
      <c r="JM251" s="692"/>
      <c r="JN251" s="692"/>
      <c r="JO251" s="692"/>
      <c r="JP251" s="692"/>
      <c r="JQ251" s="692"/>
      <c r="JR251" s="692"/>
      <c r="JS251" s="692"/>
      <c r="JT251" s="692"/>
      <c r="JU251" s="692"/>
      <c r="JV251" s="692"/>
      <c r="JW251" s="692"/>
      <c r="JX251" s="692"/>
      <c r="JY251" s="692"/>
      <c r="JZ251" s="692"/>
      <c r="KA251" s="692"/>
      <c r="KB251" s="692"/>
      <c r="KC251" s="692"/>
      <c r="KD251" s="692"/>
      <c r="KE251" s="692"/>
      <c r="KF251" s="692"/>
      <c r="KG251" s="692"/>
      <c r="KH251" s="692"/>
      <c r="KI251" s="692"/>
      <c r="KJ251" s="692"/>
      <c r="KK251" s="692"/>
      <c r="KL251" s="692"/>
      <c r="KM251" s="692"/>
      <c r="KN251" s="692"/>
      <c r="KO251" s="692"/>
      <c r="KP251" s="692"/>
      <c r="KQ251" s="692"/>
      <c r="KR251" s="692"/>
      <c r="KS251" s="692"/>
      <c r="KT251" s="692"/>
      <c r="KU251" s="692"/>
      <c r="KV251" s="692"/>
      <c r="KW251" s="692"/>
      <c r="KX251" s="692"/>
      <c r="KY251" s="692"/>
      <c r="KZ251" s="692"/>
      <c r="LA251" s="692"/>
      <c r="LB251" s="692"/>
      <c r="LC251" s="692"/>
      <c r="LD251" s="692"/>
      <c r="LE251" s="692"/>
      <c r="LF251" s="692"/>
      <c r="LG251" s="692"/>
      <c r="LH251" s="692"/>
      <c r="LI251" s="692"/>
      <c r="LJ251" s="692"/>
      <c r="LK251" s="692"/>
      <c r="LL251" s="692"/>
      <c r="LM251" s="692"/>
      <c r="LN251" s="692"/>
      <c r="LO251" s="692"/>
      <c r="LP251" s="692"/>
      <c r="LQ251" s="692"/>
      <c r="LR251" s="692"/>
      <c r="LS251" s="692"/>
      <c r="LT251" s="692"/>
      <c r="LU251" s="692"/>
      <c r="LV251" s="692"/>
      <c r="LW251" s="692"/>
      <c r="LX251" s="692"/>
      <c r="LY251" s="692"/>
      <c r="LZ251" s="692"/>
      <c r="MA251" s="692"/>
      <c r="MB251" s="692"/>
      <c r="MC251" s="692"/>
      <c r="MD251" s="692"/>
      <c r="ME251" s="692"/>
      <c r="MF251" s="692"/>
      <c r="MG251" s="692"/>
      <c r="MH251" s="692"/>
      <c r="MI251" s="692"/>
      <c r="MJ251" s="692"/>
      <c r="MK251" s="692"/>
      <c r="ML251" s="692"/>
      <c r="MM251" s="692"/>
      <c r="MN251" s="692"/>
      <c r="MO251" s="692"/>
      <c r="MP251" s="692"/>
      <c r="MQ251" s="692"/>
      <c r="MR251" s="692"/>
      <c r="MS251" s="692"/>
      <c r="MT251" s="692"/>
      <c r="MU251" s="692"/>
      <c r="MV251" s="692"/>
      <c r="MW251" s="692"/>
      <c r="MX251" s="692"/>
      <c r="MY251" s="692"/>
      <c r="MZ251" s="692"/>
      <c r="NA251" s="692"/>
      <c r="NB251" s="692"/>
      <c r="NC251" s="692"/>
      <c r="ND251" s="692"/>
      <c r="NE251" s="692"/>
      <c r="NF251" s="692"/>
      <c r="NG251" s="692"/>
      <c r="NH251" s="692"/>
      <c r="NI251" s="692"/>
      <c r="NJ251" s="692"/>
      <c r="NK251" s="692"/>
      <c r="NL251" s="692"/>
      <c r="NM251" s="692"/>
      <c r="NN251" s="692"/>
      <c r="NO251" s="692"/>
      <c r="NP251" s="692"/>
      <c r="NQ251" s="692"/>
      <c r="NR251" s="692"/>
    </row>
    <row r="252" spans="1:382" ht="15.75" thickBot="1" x14ac:dyDescent="0.3">
      <c r="A252" s="680"/>
      <c r="B252" s="121"/>
      <c r="C252" s="509"/>
      <c r="D252" s="25"/>
      <c r="E252" s="25"/>
      <c r="F252" s="209"/>
      <c r="G252" s="692"/>
      <c r="H252" s="692"/>
      <c r="I252" s="692"/>
      <c r="J252" s="692"/>
      <c r="K252" s="692"/>
      <c r="L252" s="692"/>
      <c r="M252" s="692"/>
      <c r="N252" s="692"/>
      <c r="O252" s="692"/>
      <c r="P252" s="692"/>
      <c r="Q252" s="692"/>
      <c r="R252" s="692"/>
      <c r="S252" s="692"/>
      <c r="T252" s="692"/>
      <c r="U252" s="692"/>
      <c r="V252" s="692"/>
      <c r="W252" s="692"/>
      <c r="X252" s="692"/>
      <c r="Y252" s="692"/>
      <c r="Z252" s="692"/>
      <c r="AA252" s="692"/>
      <c r="AB252" s="692"/>
      <c r="AC252" s="692"/>
      <c r="AD252" s="692"/>
      <c r="AE252" s="692"/>
      <c r="AF252" s="692"/>
      <c r="AG252" s="692"/>
      <c r="AH252" s="692"/>
      <c r="AI252" s="692"/>
      <c r="AJ252" s="692"/>
      <c r="AK252" s="692"/>
      <c r="AL252" s="692"/>
      <c r="AM252" s="692"/>
      <c r="AN252" s="692"/>
      <c r="AO252" s="692"/>
      <c r="AP252" s="692"/>
      <c r="AQ252" s="692"/>
      <c r="AR252" s="692"/>
      <c r="AS252" s="692"/>
      <c r="AT252" s="692"/>
      <c r="AU252" s="692"/>
      <c r="AV252" s="692"/>
      <c r="AW252" s="692"/>
      <c r="AX252" s="692"/>
      <c r="AY252" s="692"/>
      <c r="AZ252" s="692"/>
      <c r="BA252" s="692"/>
      <c r="BB252" s="692"/>
      <c r="BC252" s="692"/>
      <c r="BD252" s="692"/>
      <c r="BE252" s="692"/>
      <c r="BF252" s="692"/>
      <c r="BG252" s="692"/>
      <c r="BH252" s="692"/>
      <c r="BI252" s="692"/>
      <c r="BJ252" s="692"/>
      <c r="BK252" s="692"/>
      <c r="BL252" s="692"/>
      <c r="BM252" s="692"/>
      <c r="BN252" s="692"/>
      <c r="BO252" s="692"/>
      <c r="BP252" s="692"/>
      <c r="BQ252" s="692"/>
      <c r="BR252" s="692"/>
      <c r="BS252" s="692"/>
      <c r="BT252" s="692"/>
      <c r="BU252" s="692"/>
      <c r="BV252" s="692"/>
      <c r="BW252" s="692"/>
      <c r="BX252" s="692"/>
      <c r="BY252" s="692"/>
      <c r="BZ252" s="692"/>
      <c r="CA252" s="692"/>
      <c r="CB252" s="692"/>
      <c r="CC252" s="692"/>
      <c r="CD252" s="692"/>
      <c r="CE252" s="692"/>
      <c r="CF252" s="692"/>
      <c r="CG252" s="692"/>
      <c r="CH252" s="692"/>
      <c r="CI252" s="692"/>
      <c r="CJ252" s="692"/>
      <c r="CK252" s="692"/>
      <c r="CL252" s="692"/>
      <c r="CM252" s="692"/>
      <c r="CN252" s="692"/>
      <c r="CO252" s="692"/>
      <c r="CP252" s="692"/>
      <c r="CQ252" s="692"/>
      <c r="CR252" s="692"/>
      <c r="CS252" s="692"/>
      <c r="CT252" s="692"/>
      <c r="CU252" s="692"/>
      <c r="CV252" s="692"/>
      <c r="CW252" s="692"/>
      <c r="CX252" s="692"/>
      <c r="CY252" s="692"/>
      <c r="CZ252" s="692"/>
      <c r="DA252" s="692"/>
      <c r="DB252" s="692"/>
      <c r="DC252" s="692"/>
      <c r="DD252" s="692"/>
      <c r="DE252" s="692"/>
      <c r="DF252" s="692"/>
      <c r="DG252" s="692"/>
      <c r="DH252" s="692"/>
      <c r="DI252" s="692"/>
      <c r="DJ252" s="692"/>
      <c r="DK252" s="692"/>
      <c r="DL252" s="692"/>
      <c r="DM252" s="692"/>
      <c r="DN252" s="692"/>
      <c r="DO252" s="692"/>
      <c r="DP252" s="692"/>
      <c r="DQ252" s="692"/>
      <c r="DR252" s="692"/>
      <c r="DS252" s="692"/>
      <c r="DT252" s="692"/>
      <c r="DU252" s="692"/>
      <c r="DV252" s="692"/>
      <c r="DW252" s="692"/>
      <c r="DX252" s="692"/>
      <c r="DY252" s="692"/>
      <c r="DZ252" s="692"/>
      <c r="EA252" s="692"/>
      <c r="EB252" s="692"/>
      <c r="EC252" s="692"/>
      <c r="ED252" s="692"/>
      <c r="EE252" s="692"/>
      <c r="EF252" s="692"/>
      <c r="EG252" s="692"/>
      <c r="EH252" s="692"/>
      <c r="EI252" s="692"/>
      <c r="EJ252" s="692"/>
      <c r="EK252" s="692"/>
      <c r="EL252" s="692"/>
      <c r="EM252" s="692"/>
      <c r="EN252" s="692"/>
      <c r="EO252" s="692"/>
      <c r="EP252" s="692"/>
      <c r="EQ252" s="692"/>
      <c r="ER252" s="692"/>
      <c r="ES252" s="692"/>
      <c r="ET252" s="692"/>
      <c r="EU252" s="692"/>
      <c r="EV252" s="692"/>
      <c r="EW252" s="692"/>
      <c r="EX252" s="692"/>
      <c r="EY252" s="692"/>
      <c r="EZ252" s="692"/>
      <c r="FA252" s="692"/>
      <c r="FB252" s="692"/>
      <c r="FC252" s="692"/>
      <c r="FD252" s="692"/>
      <c r="FE252" s="692"/>
      <c r="FF252" s="692"/>
      <c r="FG252" s="692"/>
      <c r="FH252" s="692"/>
      <c r="FI252" s="692"/>
      <c r="FJ252" s="692"/>
      <c r="FK252" s="692"/>
      <c r="FL252" s="692"/>
      <c r="FM252" s="692"/>
      <c r="FN252" s="692"/>
      <c r="FO252" s="692"/>
      <c r="FP252" s="692"/>
      <c r="FQ252" s="692"/>
      <c r="FR252" s="692"/>
      <c r="FS252" s="692"/>
      <c r="FT252" s="692"/>
      <c r="FU252" s="692"/>
      <c r="FV252" s="692"/>
      <c r="FW252" s="692"/>
      <c r="FX252" s="692"/>
      <c r="FY252" s="692"/>
      <c r="FZ252" s="692"/>
      <c r="GA252" s="692"/>
      <c r="GB252" s="692"/>
      <c r="GC252" s="692"/>
      <c r="GD252" s="692"/>
      <c r="GE252" s="692"/>
      <c r="GF252" s="692"/>
      <c r="GG252" s="692"/>
      <c r="GH252" s="692"/>
      <c r="GI252" s="692"/>
      <c r="GJ252" s="692"/>
      <c r="GK252" s="692"/>
      <c r="GL252" s="692"/>
      <c r="GM252" s="692"/>
      <c r="GN252" s="692"/>
      <c r="GO252" s="692"/>
      <c r="GP252" s="692"/>
      <c r="GQ252" s="692"/>
      <c r="GR252" s="692"/>
      <c r="GS252" s="692"/>
      <c r="GT252" s="692"/>
      <c r="GU252" s="692"/>
      <c r="GV252" s="692"/>
      <c r="GW252" s="692"/>
      <c r="GX252" s="692"/>
      <c r="GY252" s="692"/>
      <c r="GZ252" s="692"/>
      <c r="HA252" s="692"/>
      <c r="HB252" s="692"/>
      <c r="HC252" s="692"/>
      <c r="HD252" s="692"/>
      <c r="HE252" s="692"/>
      <c r="HF252" s="692"/>
      <c r="HG252" s="692"/>
      <c r="HH252" s="692"/>
      <c r="HI252" s="692"/>
      <c r="HJ252" s="692"/>
      <c r="HK252" s="692"/>
      <c r="HL252" s="692"/>
      <c r="HM252" s="692"/>
      <c r="HN252" s="692"/>
      <c r="HO252" s="692"/>
      <c r="HP252" s="692"/>
      <c r="HQ252" s="692"/>
      <c r="HR252" s="692"/>
      <c r="HS252" s="692"/>
      <c r="HT252" s="692"/>
      <c r="HU252" s="692"/>
      <c r="HV252" s="692"/>
      <c r="HW252" s="692"/>
      <c r="HX252" s="692"/>
      <c r="HY252" s="692"/>
      <c r="HZ252" s="692"/>
      <c r="IA252" s="692"/>
      <c r="IB252" s="692"/>
      <c r="IC252" s="692"/>
      <c r="ID252" s="692"/>
      <c r="IE252" s="692"/>
      <c r="IF252" s="692"/>
      <c r="IG252" s="692"/>
      <c r="IH252" s="692"/>
      <c r="II252" s="692"/>
      <c r="IJ252" s="692"/>
      <c r="IK252" s="692"/>
      <c r="IL252" s="692"/>
      <c r="IM252" s="692"/>
      <c r="IN252" s="692"/>
      <c r="IO252" s="692"/>
      <c r="IP252" s="692"/>
      <c r="IQ252" s="692"/>
      <c r="IR252" s="692"/>
      <c r="IS252" s="692"/>
      <c r="IT252" s="692"/>
      <c r="IU252" s="692"/>
      <c r="IV252" s="692"/>
      <c r="IW252" s="692"/>
      <c r="IX252" s="692"/>
      <c r="IY252" s="692"/>
      <c r="IZ252" s="692"/>
      <c r="JA252" s="692"/>
      <c r="JB252" s="692"/>
      <c r="JC252" s="692"/>
      <c r="JD252" s="692"/>
      <c r="JE252" s="692"/>
      <c r="JF252" s="692"/>
      <c r="JG252" s="692"/>
      <c r="JH252" s="692"/>
      <c r="JI252" s="692"/>
      <c r="JJ252" s="692"/>
      <c r="JK252" s="692"/>
      <c r="JL252" s="692"/>
      <c r="JM252" s="692"/>
      <c r="JN252" s="692"/>
      <c r="JO252" s="692"/>
      <c r="JP252" s="692"/>
      <c r="JQ252" s="692"/>
      <c r="JR252" s="692"/>
      <c r="JS252" s="692"/>
      <c r="JT252" s="692"/>
      <c r="JU252" s="692"/>
      <c r="JV252" s="692"/>
      <c r="JW252" s="692"/>
      <c r="JX252" s="692"/>
      <c r="JY252" s="692"/>
      <c r="JZ252" s="692"/>
      <c r="KA252" s="692"/>
      <c r="KB252" s="692"/>
      <c r="KC252" s="692"/>
      <c r="KD252" s="692"/>
      <c r="KE252" s="692"/>
      <c r="KF252" s="692"/>
      <c r="KG252" s="692"/>
      <c r="KH252" s="692"/>
      <c r="KI252" s="692"/>
      <c r="KJ252" s="692"/>
      <c r="KK252" s="692"/>
      <c r="KL252" s="692"/>
      <c r="KM252" s="692"/>
      <c r="KN252" s="692"/>
      <c r="KO252" s="692"/>
      <c r="KP252" s="692"/>
      <c r="KQ252" s="692"/>
      <c r="KR252" s="692"/>
      <c r="KS252" s="692"/>
      <c r="KT252" s="692"/>
      <c r="KU252" s="692"/>
      <c r="KV252" s="692"/>
      <c r="KW252" s="692"/>
      <c r="KX252" s="692"/>
      <c r="KY252" s="692"/>
      <c r="KZ252" s="692"/>
      <c r="LA252" s="692"/>
      <c r="LB252" s="692"/>
      <c r="LC252" s="692"/>
      <c r="LD252" s="692"/>
      <c r="LE252" s="692"/>
      <c r="LF252" s="692"/>
      <c r="LG252" s="692"/>
      <c r="LH252" s="692"/>
      <c r="LI252" s="692"/>
      <c r="LJ252" s="692"/>
      <c r="LK252" s="692"/>
      <c r="LL252" s="692"/>
      <c r="LM252" s="692"/>
      <c r="LN252" s="692"/>
      <c r="LO252" s="692"/>
      <c r="LP252" s="692"/>
      <c r="LQ252" s="692"/>
      <c r="LR252" s="692"/>
      <c r="LS252" s="692"/>
      <c r="LT252" s="692"/>
      <c r="LU252" s="692"/>
      <c r="LV252" s="692"/>
      <c r="LW252" s="692"/>
      <c r="LX252" s="692"/>
      <c r="LY252" s="692"/>
      <c r="LZ252" s="692"/>
      <c r="MA252" s="692"/>
      <c r="MB252" s="692"/>
      <c r="MC252" s="692"/>
      <c r="MD252" s="692"/>
      <c r="ME252" s="692"/>
      <c r="MF252" s="692"/>
      <c r="MG252" s="692"/>
      <c r="MH252" s="692"/>
      <c r="MI252" s="692"/>
      <c r="MJ252" s="692"/>
      <c r="MK252" s="692"/>
      <c r="ML252" s="692"/>
      <c r="MM252" s="692"/>
      <c r="MN252" s="692"/>
      <c r="MO252" s="692"/>
      <c r="MP252" s="692"/>
      <c r="MQ252" s="692"/>
      <c r="MR252" s="692"/>
      <c r="MS252" s="692"/>
      <c r="MT252" s="692"/>
      <c r="MU252" s="692"/>
      <c r="MV252" s="692"/>
      <c r="MW252" s="692"/>
      <c r="MX252" s="692"/>
      <c r="MY252" s="692"/>
      <c r="MZ252" s="692"/>
      <c r="NA252" s="692"/>
      <c r="NB252" s="692"/>
      <c r="NC252" s="692"/>
      <c r="ND252" s="692"/>
      <c r="NE252" s="692"/>
      <c r="NF252" s="692"/>
      <c r="NG252" s="692"/>
      <c r="NH252" s="692"/>
      <c r="NI252" s="692"/>
      <c r="NJ252" s="692"/>
      <c r="NK252" s="692"/>
      <c r="NL252" s="692"/>
      <c r="NM252" s="692"/>
      <c r="NN252" s="692"/>
      <c r="NO252" s="692"/>
      <c r="NP252" s="692"/>
      <c r="NQ252" s="692"/>
      <c r="NR252" s="692"/>
    </row>
    <row r="253" spans="1:382" ht="15.75" thickBot="1" x14ac:dyDescent="0.3">
      <c r="A253" s="680"/>
      <c r="B253" s="680" t="s">
        <v>1712</v>
      </c>
      <c r="C253" s="747">
        <f>'Input Data'!$E$303</f>
        <v>0</v>
      </c>
      <c r="D253" s="680" t="s">
        <v>667</v>
      </c>
      <c r="E253" s="681"/>
      <c r="F253" s="202" t="s">
        <v>1713</v>
      </c>
      <c r="G253" s="692"/>
      <c r="H253" s="692"/>
      <c r="I253" s="692"/>
      <c r="J253" s="692"/>
      <c r="K253" s="692"/>
      <c r="L253" s="692"/>
      <c r="M253" s="692"/>
      <c r="N253" s="692"/>
      <c r="O253" s="692"/>
      <c r="P253" s="692"/>
      <c r="Q253" s="692"/>
      <c r="R253" s="692"/>
      <c r="S253" s="692"/>
      <c r="T253" s="692"/>
      <c r="U253" s="692"/>
      <c r="V253" s="692"/>
      <c r="W253" s="692"/>
      <c r="X253" s="692"/>
      <c r="Y253" s="692"/>
      <c r="Z253" s="692"/>
      <c r="AA253" s="692"/>
      <c r="AB253" s="692"/>
      <c r="AC253" s="692"/>
      <c r="AD253" s="692"/>
      <c r="AE253" s="692"/>
      <c r="AF253" s="692"/>
      <c r="AG253" s="692"/>
      <c r="AH253" s="692"/>
      <c r="AI253" s="692"/>
      <c r="AJ253" s="692"/>
      <c r="AK253" s="692"/>
      <c r="AL253" s="692"/>
      <c r="AM253" s="692"/>
      <c r="AN253" s="692"/>
      <c r="AO253" s="692"/>
      <c r="AP253" s="692"/>
      <c r="AQ253" s="692"/>
      <c r="AR253" s="692"/>
      <c r="AS253" s="692"/>
      <c r="AT253" s="692"/>
      <c r="AU253" s="692"/>
      <c r="AV253" s="692"/>
      <c r="AW253" s="692"/>
      <c r="AX253" s="692"/>
      <c r="AY253" s="692"/>
      <c r="AZ253" s="692"/>
      <c r="BA253" s="692"/>
      <c r="BB253" s="692"/>
      <c r="BC253" s="692"/>
      <c r="BD253" s="692"/>
      <c r="BE253" s="692"/>
      <c r="BF253" s="692"/>
      <c r="BG253" s="692"/>
      <c r="BH253" s="692"/>
      <c r="BI253" s="692"/>
      <c r="BJ253" s="692"/>
      <c r="BK253" s="692"/>
      <c r="BL253" s="692"/>
      <c r="BM253" s="692"/>
      <c r="BN253" s="692"/>
      <c r="BO253" s="692"/>
      <c r="BP253" s="692"/>
      <c r="BQ253" s="692"/>
      <c r="BR253" s="692"/>
      <c r="BS253" s="692"/>
      <c r="BT253" s="692"/>
      <c r="BU253" s="692"/>
      <c r="BV253" s="692"/>
      <c r="BW253" s="692"/>
      <c r="BX253" s="692"/>
      <c r="BY253" s="692"/>
      <c r="BZ253" s="692"/>
      <c r="CA253" s="692"/>
      <c r="CB253" s="692"/>
      <c r="CC253" s="692"/>
      <c r="CD253" s="692"/>
      <c r="CE253" s="692"/>
      <c r="CF253" s="692"/>
      <c r="CG253" s="692"/>
      <c r="CH253" s="692"/>
      <c r="CI253" s="692"/>
      <c r="CJ253" s="692"/>
      <c r="CK253" s="692"/>
      <c r="CL253" s="692"/>
      <c r="CM253" s="692"/>
      <c r="CN253" s="692"/>
      <c r="CO253" s="692"/>
      <c r="CP253" s="692"/>
      <c r="CQ253" s="692"/>
      <c r="CR253" s="692"/>
      <c r="CS253" s="692"/>
      <c r="CT253" s="692"/>
      <c r="CU253" s="692"/>
      <c r="CV253" s="692"/>
      <c r="CW253" s="692"/>
      <c r="CX253" s="692"/>
      <c r="CY253" s="692"/>
      <c r="CZ253" s="692"/>
      <c r="DA253" s="692"/>
      <c r="DB253" s="692"/>
      <c r="DC253" s="692"/>
      <c r="DD253" s="692"/>
      <c r="DE253" s="692"/>
      <c r="DF253" s="692"/>
      <c r="DG253" s="692"/>
      <c r="DH253" s="692"/>
      <c r="DI253" s="692"/>
      <c r="DJ253" s="692"/>
      <c r="DK253" s="692"/>
      <c r="DL253" s="692"/>
      <c r="DM253" s="692"/>
      <c r="DN253" s="692"/>
      <c r="DO253" s="692"/>
      <c r="DP253" s="692"/>
      <c r="DQ253" s="692"/>
      <c r="DR253" s="692"/>
      <c r="DS253" s="692"/>
      <c r="DT253" s="692"/>
      <c r="DU253" s="692"/>
      <c r="DV253" s="692"/>
      <c r="DW253" s="692"/>
      <c r="DX253" s="692"/>
      <c r="DY253" s="692"/>
      <c r="DZ253" s="692"/>
      <c r="EA253" s="692"/>
      <c r="EB253" s="692"/>
      <c r="EC253" s="692"/>
      <c r="ED253" s="692"/>
      <c r="EE253" s="692"/>
      <c r="EF253" s="692"/>
      <c r="EG253" s="692"/>
      <c r="EH253" s="692"/>
      <c r="EI253" s="692"/>
      <c r="EJ253" s="692"/>
      <c r="EK253" s="692"/>
      <c r="EL253" s="692"/>
      <c r="EM253" s="692"/>
      <c r="EN253" s="692"/>
      <c r="EO253" s="692"/>
      <c r="EP253" s="692"/>
      <c r="EQ253" s="692"/>
      <c r="ER253" s="692"/>
      <c r="ES253" s="692"/>
      <c r="ET253" s="692"/>
      <c r="EU253" s="692"/>
      <c r="EV253" s="692"/>
      <c r="EW253" s="692"/>
      <c r="EX253" s="692"/>
      <c r="EY253" s="692"/>
      <c r="EZ253" s="692"/>
      <c r="FA253" s="692"/>
      <c r="FB253" s="692"/>
      <c r="FC253" s="692"/>
      <c r="FD253" s="692"/>
      <c r="FE253" s="692"/>
      <c r="FF253" s="692"/>
      <c r="FG253" s="692"/>
      <c r="FH253" s="692"/>
      <c r="FI253" s="692"/>
      <c r="FJ253" s="692"/>
      <c r="FK253" s="692"/>
      <c r="FL253" s="692"/>
      <c r="FM253" s="692"/>
      <c r="FN253" s="692"/>
      <c r="FO253" s="692"/>
      <c r="FP253" s="692"/>
      <c r="FQ253" s="692"/>
      <c r="FR253" s="692"/>
      <c r="FS253" s="692"/>
      <c r="FT253" s="692"/>
      <c r="FU253" s="692"/>
      <c r="FV253" s="692"/>
      <c r="FW253" s="692"/>
      <c r="FX253" s="692"/>
      <c r="FY253" s="692"/>
      <c r="FZ253" s="692"/>
      <c r="GA253" s="692"/>
      <c r="GB253" s="692"/>
      <c r="GC253" s="692"/>
      <c r="GD253" s="692"/>
      <c r="GE253" s="692"/>
      <c r="GF253" s="692"/>
      <c r="GG253" s="692"/>
      <c r="GH253" s="692"/>
      <c r="GI253" s="692"/>
      <c r="GJ253" s="692"/>
      <c r="GK253" s="692"/>
      <c r="GL253" s="692"/>
      <c r="GM253" s="692"/>
      <c r="GN253" s="692"/>
      <c r="GO253" s="692"/>
      <c r="GP253" s="692"/>
      <c r="GQ253" s="692"/>
      <c r="GR253" s="692"/>
      <c r="GS253" s="692"/>
      <c r="GT253" s="692"/>
      <c r="GU253" s="692"/>
      <c r="GV253" s="692"/>
      <c r="GW253" s="692"/>
      <c r="GX253" s="692"/>
      <c r="GY253" s="692"/>
      <c r="GZ253" s="692"/>
      <c r="HA253" s="692"/>
      <c r="HB253" s="692"/>
      <c r="HC253" s="692"/>
      <c r="HD253" s="692"/>
      <c r="HE253" s="692"/>
      <c r="HF253" s="692"/>
      <c r="HG253" s="692"/>
      <c r="HH253" s="692"/>
      <c r="HI253" s="692"/>
      <c r="HJ253" s="692"/>
      <c r="HK253" s="692"/>
      <c r="HL253" s="692"/>
      <c r="HM253" s="692"/>
      <c r="HN253" s="692"/>
      <c r="HO253" s="692"/>
      <c r="HP253" s="692"/>
      <c r="HQ253" s="692"/>
      <c r="HR253" s="692"/>
      <c r="HS253" s="692"/>
      <c r="HT253" s="692"/>
      <c r="HU253" s="692"/>
      <c r="HV253" s="692"/>
      <c r="HW253" s="692"/>
      <c r="HX253" s="692"/>
      <c r="HY253" s="692"/>
      <c r="HZ253" s="692"/>
      <c r="IA253" s="692"/>
      <c r="IB253" s="692"/>
      <c r="IC253" s="692"/>
      <c r="ID253" s="692"/>
      <c r="IE253" s="692"/>
      <c r="IF253" s="692"/>
      <c r="IG253" s="692"/>
      <c r="IH253" s="692"/>
      <c r="II253" s="692"/>
      <c r="IJ253" s="692"/>
      <c r="IK253" s="692"/>
      <c r="IL253" s="692"/>
      <c r="IM253" s="692"/>
      <c r="IN253" s="692"/>
      <c r="IO253" s="692"/>
      <c r="IP253" s="692"/>
      <c r="IQ253" s="692"/>
      <c r="IR253" s="692"/>
      <c r="IS253" s="692"/>
      <c r="IT253" s="692"/>
      <c r="IU253" s="692"/>
      <c r="IV253" s="692"/>
      <c r="IW253" s="692"/>
      <c r="IX253" s="692"/>
      <c r="IY253" s="692"/>
      <c r="IZ253" s="692"/>
      <c r="JA253" s="692"/>
      <c r="JB253" s="692"/>
      <c r="JC253" s="692"/>
      <c r="JD253" s="692"/>
      <c r="JE253" s="692"/>
      <c r="JF253" s="692"/>
      <c r="JG253" s="692"/>
      <c r="JH253" s="692"/>
      <c r="JI253" s="692"/>
      <c r="JJ253" s="692"/>
      <c r="JK253" s="692"/>
      <c r="JL253" s="692"/>
      <c r="JM253" s="692"/>
      <c r="JN253" s="692"/>
      <c r="JO253" s="692"/>
      <c r="JP253" s="692"/>
      <c r="JQ253" s="692"/>
      <c r="JR253" s="692"/>
      <c r="JS253" s="692"/>
      <c r="JT253" s="692"/>
      <c r="JU253" s="692"/>
      <c r="JV253" s="692"/>
      <c r="JW253" s="692"/>
      <c r="JX253" s="692"/>
      <c r="JY253" s="692"/>
      <c r="JZ253" s="692"/>
      <c r="KA253" s="692"/>
      <c r="KB253" s="692"/>
      <c r="KC253" s="692"/>
      <c r="KD253" s="692"/>
      <c r="KE253" s="692"/>
      <c r="KF253" s="692"/>
      <c r="KG253" s="692"/>
      <c r="KH253" s="692"/>
      <c r="KI253" s="692"/>
      <c r="KJ253" s="692"/>
      <c r="KK253" s="692"/>
      <c r="KL253" s="692"/>
      <c r="KM253" s="692"/>
      <c r="KN253" s="692"/>
      <c r="KO253" s="692"/>
      <c r="KP253" s="692"/>
      <c r="KQ253" s="692"/>
      <c r="KR253" s="692"/>
      <c r="KS253" s="692"/>
      <c r="KT253" s="692"/>
      <c r="KU253" s="692"/>
      <c r="KV253" s="692"/>
      <c r="KW253" s="692"/>
      <c r="KX253" s="692"/>
      <c r="KY253" s="692"/>
      <c r="KZ253" s="692"/>
      <c r="LA253" s="692"/>
      <c r="LB253" s="692"/>
      <c r="LC253" s="692"/>
      <c r="LD253" s="692"/>
      <c r="LE253" s="692"/>
      <c r="LF253" s="692"/>
      <c r="LG253" s="692"/>
      <c r="LH253" s="692"/>
      <c r="LI253" s="692"/>
      <c r="LJ253" s="692"/>
      <c r="LK253" s="692"/>
      <c r="LL253" s="692"/>
      <c r="LM253" s="692"/>
      <c r="LN253" s="692"/>
      <c r="LO253" s="692"/>
      <c r="LP253" s="692"/>
      <c r="LQ253" s="692"/>
      <c r="LR253" s="692"/>
      <c r="LS253" s="692"/>
      <c r="LT253" s="692"/>
      <c r="LU253" s="692"/>
      <c r="LV253" s="692"/>
      <c r="LW253" s="692"/>
      <c r="LX253" s="692"/>
      <c r="LY253" s="692"/>
      <c r="LZ253" s="692"/>
      <c r="MA253" s="692"/>
      <c r="MB253" s="692"/>
      <c r="MC253" s="692"/>
      <c r="MD253" s="692"/>
      <c r="ME253" s="692"/>
      <c r="MF253" s="692"/>
      <c r="MG253" s="692"/>
      <c r="MH253" s="692"/>
      <c r="MI253" s="692"/>
      <c r="MJ253" s="692"/>
      <c r="MK253" s="692"/>
      <c r="ML253" s="692"/>
      <c r="MM253" s="692"/>
      <c r="MN253" s="692"/>
      <c r="MO253" s="692"/>
      <c r="MP253" s="692"/>
      <c r="MQ253" s="692"/>
      <c r="MR253" s="692"/>
      <c r="MS253" s="692"/>
      <c r="MT253" s="692"/>
      <c r="MU253" s="692"/>
      <c r="MV253" s="692"/>
      <c r="MW253" s="692"/>
      <c r="MX253" s="692"/>
      <c r="MY253" s="692"/>
      <c r="MZ253" s="692"/>
      <c r="NA253" s="692"/>
      <c r="NB253" s="692"/>
      <c r="NC253" s="692"/>
      <c r="ND253" s="692"/>
      <c r="NE253" s="692"/>
      <c r="NF253" s="692"/>
      <c r="NG253" s="692"/>
      <c r="NH253" s="692"/>
      <c r="NI253" s="692"/>
      <c r="NJ253" s="692"/>
      <c r="NK253" s="692"/>
      <c r="NL253" s="692"/>
      <c r="NM253" s="692"/>
      <c r="NN253" s="692"/>
      <c r="NO253" s="692"/>
      <c r="NP253" s="692"/>
      <c r="NQ253" s="692"/>
      <c r="NR253" s="692"/>
    </row>
    <row r="254" spans="1:382" x14ac:dyDescent="0.25">
      <c r="A254" s="680"/>
      <c r="B254" s="680" t="s">
        <v>1714</v>
      </c>
      <c r="C254" s="511" t="e">
        <f>C253*1000/C208</f>
        <v>#DIV/0!</v>
      </c>
      <c r="D254" s="680" t="s">
        <v>1071</v>
      </c>
      <c r="E254" s="25"/>
      <c r="F254" s="202"/>
      <c r="G254" s="692"/>
      <c r="H254" s="692"/>
      <c r="I254" s="692"/>
      <c r="J254" s="692"/>
      <c r="K254" s="692"/>
      <c r="L254" s="692"/>
      <c r="M254" s="692"/>
      <c r="N254" s="692"/>
      <c r="O254" s="692"/>
      <c r="P254" s="692"/>
      <c r="Q254" s="692"/>
      <c r="R254" s="692"/>
      <c r="S254" s="692"/>
      <c r="T254" s="692"/>
      <c r="U254" s="692"/>
      <c r="V254" s="692"/>
      <c r="W254" s="692"/>
      <c r="X254" s="692"/>
      <c r="Y254" s="692"/>
      <c r="Z254" s="692"/>
      <c r="AA254" s="692"/>
      <c r="AB254" s="692"/>
      <c r="AC254" s="692"/>
      <c r="AD254" s="692"/>
      <c r="AE254" s="692"/>
      <c r="AF254" s="692"/>
      <c r="AG254" s="692"/>
      <c r="AH254" s="692"/>
      <c r="AI254" s="692"/>
      <c r="AJ254" s="692"/>
      <c r="AK254" s="692"/>
      <c r="AL254" s="692"/>
      <c r="AM254" s="692"/>
      <c r="AN254" s="692"/>
      <c r="AO254" s="692"/>
      <c r="AP254" s="692"/>
      <c r="AQ254" s="692"/>
      <c r="AR254" s="692"/>
      <c r="AS254" s="692"/>
      <c r="AT254" s="692"/>
      <c r="AU254" s="692"/>
      <c r="AV254" s="692"/>
      <c r="AW254" s="692"/>
      <c r="AX254" s="692"/>
      <c r="AY254" s="692"/>
      <c r="AZ254" s="692"/>
      <c r="BA254" s="692"/>
      <c r="BB254" s="692"/>
      <c r="BC254" s="692"/>
      <c r="BD254" s="692"/>
      <c r="BE254" s="692"/>
      <c r="BF254" s="692"/>
      <c r="BG254" s="692"/>
      <c r="BH254" s="692"/>
      <c r="BI254" s="692"/>
      <c r="BJ254" s="692"/>
      <c r="BK254" s="692"/>
      <c r="BL254" s="692"/>
      <c r="BM254" s="692"/>
      <c r="BN254" s="692"/>
      <c r="BO254" s="692"/>
      <c r="BP254" s="692"/>
      <c r="BQ254" s="692"/>
      <c r="BR254" s="692"/>
      <c r="BS254" s="692"/>
      <c r="BT254" s="692"/>
      <c r="BU254" s="692"/>
      <c r="BV254" s="692"/>
      <c r="BW254" s="692"/>
      <c r="BX254" s="692"/>
      <c r="BY254" s="692"/>
      <c r="BZ254" s="692"/>
      <c r="CA254" s="692"/>
      <c r="CB254" s="692"/>
      <c r="CC254" s="692"/>
      <c r="CD254" s="692"/>
      <c r="CE254" s="692"/>
      <c r="CF254" s="692"/>
      <c r="CG254" s="692"/>
      <c r="CH254" s="692"/>
      <c r="CI254" s="692"/>
      <c r="CJ254" s="692"/>
      <c r="CK254" s="692"/>
      <c r="CL254" s="692"/>
      <c r="CM254" s="692"/>
      <c r="CN254" s="692"/>
      <c r="CO254" s="692"/>
      <c r="CP254" s="692"/>
      <c r="CQ254" s="692"/>
      <c r="CR254" s="692"/>
      <c r="CS254" s="692"/>
      <c r="CT254" s="692"/>
      <c r="CU254" s="692"/>
      <c r="CV254" s="692"/>
      <c r="CW254" s="692"/>
      <c r="CX254" s="692"/>
      <c r="CY254" s="692"/>
      <c r="CZ254" s="692"/>
      <c r="DA254" s="692"/>
      <c r="DB254" s="692"/>
      <c r="DC254" s="692"/>
      <c r="DD254" s="692"/>
      <c r="DE254" s="692"/>
      <c r="DF254" s="692"/>
      <c r="DG254" s="692"/>
      <c r="DH254" s="692"/>
      <c r="DI254" s="692"/>
      <c r="DJ254" s="692"/>
      <c r="DK254" s="692"/>
      <c r="DL254" s="692"/>
      <c r="DM254" s="692"/>
      <c r="DN254" s="692"/>
      <c r="DO254" s="692"/>
      <c r="DP254" s="692"/>
      <c r="DQ254" s="692"/>
      <c r="DR254" s="692"/>
      <c r="DS254" s="692"/>
      <c r="DT254" s="692"/>
      <c r="DU254" s="692"/>
      <c r="DV254" s="692"/>
      <c r="DW254" s="692"/>
      <c r="DX254" s="692"/>
      <c r="DY254" s="692"/>
      <c r="DZ254" s="692"/>
      <c r="EA254" s="692"/>
      <c r="EB254" s="692"/>
      <c r="EC254" s="692"/>
      <c r="ED254" s="692"/>
      <c r="EE254" s="692"/>
      <c r="EF254" s="692"/>
      <c r="EG254" s="692"/>
      <c r="EH254" s="692"/>
      <c r="EI254" s="692"/>
      <c r="EJ254" s="692"/>
      <c r="EK254" s="692"/>
      <c r="EL254" s="692"/>
      <c r="EM254" s="692"/>
      <c r="EN254" s="692"/>
      <c r="EO254" s="692"/>
      <c r="EP254" s="692"/>
      <c r="EQ254" s="692"/>
      <c r="ER254" s="692"/>
      <c r="ES254" s="692"/>
      <c r="ET254" s="692"/>
      <c r="EU254" s="692"/>
      <c r="EV254" s="692"/>
      <c r="EW254" s="692"/>
      <c r="EX254" s="692"/>
      <c r="EY254" s="692"/>
      <c r="EZ254" s="692"/>
      <c r="FA254" s="692"/>
      <c r="FB254" s="692"/>
      <c r="FC254" s="692"/>
      <c r="FD254" s="692"/>
      <c r="FE254" s="692"/>
      <c r="FF254" s="692"/>
      <c r="FG254" s="692"/>
      <c r="FH254" s="692"/>
      <c r="FI254" s="692"/>
      <c r="FJ254" s="692"/>
      <c r="FK254" s="692"/>
      <c r="FL254" s="692"/>
      <c r="FM254" s="692"/>
      <c r="FN254" s="692"/>
      <c r="FO254" s="692"/>
      <c r="FP254" s="692"/>
      <c r="FQ254" s="692"/>
      <c r="FR254" s="692"/>
      <c r="FS254" s="692"/>
      <c r="FT254" s="692"/>
      <c r="FU254" s="692"/>
      <c r="FV254" s="692"/>
      <c r="FW254" s="692"/>
      <c r="FX254" s="692"/>
      <c r="FY254" s="692"/>
      <c r="FZ254" s="692"/>
      <c r="GA254" s="692"/>
      <c r="GB254" s="692"/>
      <c r="GC254" s="692"/>
      <c r="GD254" s="692"/>
      <c r="GE254" s="692"/>
      <c r="GF254" s="692"/>
      <c r="GG254" s="692"/>
      <c r="GH254" s="692"/>
      <c r="GI254" s="692"/>
      <c r="GJ254" s="692"/>
      <c r="GK254" s="692"/>
      <c r="GL254" s="692"/>
      <c r="GM254" s="692"/>
      <c r="GN254" s="692"/>
      <c r="GO254" s="692"/>
      <c r="GP254" s="692"/>
      <c r="GQ254" s="692"/>
      <c r="GR254" s="692"/>
      <c r="GS254" s="692"/>
      <c r="GT254" s="692"/>
      <c r="GU254" s="692"/>
      <c r="GV254" s="692"/>
      <c r="GW254" s="692"/>
      <c r="GX254" s="692"/>
      <c r="GY254" s="692"/>
      <c r="GZ254" s="692"/>
      <c r="HA254" s="692"/>
      <c r="HB254" s="692"/>
      <c r="HC254" s="692"/>
      <c r="HD254" s="692"/>
      <c r="HE254" s="692"/>
      <c r="HF254" s="692"/>
      <c r="HG254" s="692"/>
      <c r="HH254" s="692"/>
      <c r="HI254" s="692"/>
      <c r="HJ254" s="692"/>
      <c r="HK254" s="692"/>
      <c r="HL254" s="692"/>
      <c r="HM254" s="692"/>
      <c r="HN254" s="692"/>
      <c r="HO254" s="692"/>
      <c r="HP254" s="692"/>
      <c r="HQ254" s="692"/>
      <c r="HR254" s="692"/>
      <c r="HS254" s="692"/>
      <c r="HT254" s="692"/>
      <c r="HU254" s="692"/>
      <c r="HV254" s="692"/>
      <c r="HW254" s="692"/>
      <c r="HX254" s="692"/>
      <c r="HY254" s="692"/>
      <c r="HZ254" s="692"/>
      <c r="IA254" s="692"/>
      <c r="IB254" s="692"/>
      <c r="IC254" s="692"/>
      <c r="ID254" s="692"/>
      <c r="IE254" s="692"/>
      <c r="IF254" s="692"/>
      <c r="IG254" s="692"/>
      <c r="IH254" s="692"/>
      <c r="II254" s="692"/>
      <c r="IJ254" s="692"/>
      <c r="IK254" s="692"/>
      <c r="IL254" s="692"/>
      <c r="IM254" s="692"/>
      <c r="IN254" s="692"/>
      <c r="IO254" s="692"/>
      <c r="IP254" s="692"/>
      <c r="IQ254" s="692"/>
      <c r="IR254" s="692"/>
      <c r="IS254" s="692"/>
      <c r="IT254" s="692"/>
      <c r="IU254" s="692"/>
      <c r="IV254" s="692"/>
      <c r="IW254" s="692"/>
      <c r="IX254" s="692"/>
      <c r="IY254" s="692"/>
      <c r="IZ254" s="692"/>
      <c r="JA254" s="692"/>
      <c r="JB254" s="692"/>
      <c r="JC254" s="692"/>
      <c r="JD254" s="692"/>
      <c r="JE254" s="692"/>
      <c r="JF254" s="692"/>
      <c r="JG254" s="692"/>
      <c r="JH254" s="692"/>
      <c r="JI254" s="692"/>
      <c r="JJ254" s="692"/>
      <c r="JK254" s="692"/>
      <c r="JL254" s="692"/>
      <c r="JM254" s="692"/>
      <c r="JN254" s="692"/>
      <c r="JO254" s="692"/>
      <c r="JP254" s="692"/>
      <c r="JQ254" s="692"/>
      <c r="JR254" s="692"/>
      <c r="JS254" s="692"/>
      <c r="JT254" s="692"/>
      <c r="JU254" s="692"/>
      <c r="JV254" s="692"/>
      <c r="JW254" s="692"/>
      <c r="JX254" s="692"/>
      <c r="JY254" s="692"/>
      <c r="JZ254" s="692"/>
      <c r="KA254" s="692"/>
      <c r="KB254" s="692"/>
      <c r="KC254" s="692"/>
      <c r="KD254" s="692"/>
      <c r="KE254" s="692"/>
      <c r="KF254" s="692"/>
      <c r="KG254" s="692"/>
      <c r="KH254" s="692"/>
      <c r="KI254" s="692"/>
      <c r="KJ254" s="692"/>
      <c r="KK254" s="692"/>
      <c r="KL254" s="692"/>
      <c r="KM254" s="692"/>
      <c r="KN254" s="692"/>
      <c r="KO254" s="692"/>
      <c r="KP254" s="692"/>
      <c r="KQ254" s="692"/>
      <c r="KR254" s="692"/>
      <c r="KS254" s="692"/>
      <c r="KT254" s="692"/>
      <c r="KU254" s="692"/>
      <c r="KV254" s="692"/>
      <c r="KW254" s="692"/>
      <c r="KX254" s="692"/>
      <c r="KY254" s="692"/>
      <c r="KZ254" s="692"/>
      <c r="LA254" s="692"/>
      <c r="LB254" s="692"/>
      <c r="LC254" s="692"/>
      <c r="LD254" s="692"/>
      <c r="LE254" s="692"/>
      <c r="LF254" s="692"/>
      <c r="LG254" s="692"/>
      <c r="LH254" s="692"/>
      <c r="LI254" s="692"/>
      <c r="LJ254" s="692"/>
      <c r="LK254" s="692"/>
      <c r="LL254" s="692"/>
      <c r="LM254" s="692"/>
      <c r="LN254" s="692"/>
      <c r="LO254" s="692"/>
      <c r="LP254" s="692"/>
      <c r="LQ254" s="692"/>
      <c r="LR254" s="692"/>
      <c r="LS254" s="692"/>
      <c r="LT254" s="692"/>
      <c r="LU254" s="692"/>
      <c r="LV254" s="692"/>
      <c r="LW254" s="692"/>
      <c r="LX254" s="692"/>
      <c r="LY254" s="692"/>
      <c r="LZ254" s="692"/>
      <c r="MA254" s="692"/>
      <c r="MB254" s="692"/>
      <c r="MC254" s="692"/>
      <c r="MD254" s="692"/>
      <c r="ME254" s="692"/>
      <c r="MF254" s="692"/>
      <c r="MG254" s="692"/>
      <c r="MH254" s="692"/>
      <c r="MI254" s="692"/>
      <c r="MJ254" s="692"/>
      <c r="MK254" s="692"/>
      <c r="ML254" s="692"/>
      <c r="MM254" s="692"/>
      <c r="MN254" s="692"/>
      <c r="MO254" s="692"/>
      <c r="MP254" s="692"/>
      <c r="MQ254" s="692"/>
      <c r="MR254" s="692"/>
      <c r="MS254" s="692"/>
      <c r="MT254" s="692"/>
      <c r="MU254" s="692"/>
      <c r="MV254" s="692"/>
      <c r="MW254" s="692"/>
      <c r="MX254" s="692"/>
      <c r="MY254" s="692"/>
      <c r="MZ254" s="692"/>
      <c r="NA254" s="692"/>
      <c r="NB254" s="692"/>
      <c r="NC254" s="692"/>
      <c r="ND254" s="692"/>
      <c r="NE254" s="692"/>
      <c r="NF254" s="692"/>
      <c r="NG254" s="692"/>
      <c r="NH254" s="692"/>
      <c r="NI254" s="692"/>
      <c r="NJ254" s="692"/>
      <c r="NK254" s="692"/>
      <c r="NL254" s="692"/>
      <c r="NM254" s="692"/>
      <c r="NN254" s="692"/>
      <c r="NO254" s="692"/>
      <c r="NP254" s="692"/>
      <c r="NQ254" s="692"/>
      <c r="NR254" s="692"/>
    </row>
    <row r="255" spans="1:382" ht="15.75" thickBot="1" x14ac:dyDescent="0.3">
      <c r="A255" s="680"/>
      <c r="B255" s="680" t="s">
        <v>1715</v>
      </c>
      <c r="C255" s="408">
        <f>'Conversion factors'!B11</f>
        <v>75</v>
      </c>
      <c r="D255" s="680" t="s">
        <v>1711</v>
      </c>
      <c r="E255" s="25"/>
      <c r="F255" s="209" t="s">
        <v>1716</v>
      </c>
      <c r="G255" s="692"/>
      <c r="H255" s="692"/>
      <c r="I255" s="692"/>
      <c r="J255" s="692"/>
      <c r="K255" s="692"/>
      <c r="L255" s="692"/>
      <c r="M255" s="692"/>
      <c r="N255" s="692"/>
      <c r="O255" s="692"/>
      <c r="P255" s="692"/>
      <c r="Q255" s="692"/>
      <c r="R255" s="692"/>
      <c r="S255" s="692"/>
      <c r="T255" s="692"/>
      <c r="U255" s="692"/>
      <c r="V255" s="692"/>
      <c r="W255" s="692"/>
      <c r="X255" s="692"/>
      <c r="Y255" s="692"/>
      <c r="Z255" s="692"/>
      <c r="AA255" s="692"/>
      <c r="AB255" s="692"/>
      <c r="AC255" s="692"/>
      <c r="AD255" s="692"/>
      <c r="AE255" s="692"/>
      <c r="AF255" s="692"/>
      <c r="AG255" s="692"/>
      <c r="AH255" s="692"/>
      <c r="AI255" s="692"/>
      <c r="AJ255" s="692"/>
      <c r="AK255" s="692"/>
      <c r="AL255" s="692"/>
      <c r="AM255" s="692"/>
      <c r="AN255" s="692"/>
      <c r="AO255" s="692"/>
      <c r="AP255" s="692"/>
      <c r="AQ255" s="692"/>
      <c r="AR255" s="692"/>
      <c r="AS255" s="692"/>
      <c r="AT255" s="692"/>
      <c r="AU255" s="692"/>
      <c r="AV255" s="692"/>
      <c r="AW255" s="692"/>
      <c r="AX255" s="692"/>
      <c r="AY255" s="692"/>
      <c r="AZ255" s="692"/>
      <c r="BA255" s="692"/>
      <c r="BB255" s="692"/>
      <c r="BC255" s="692"/>
      <c r="BD255" s="692"/>
      <c r="BE255" s="692"/>
      <c r="BF255" s="692"/>
      <c r="BG255" s="692"/>
      <c r="BH255" s="692"/>
      <c r="BI255" s="692"/>
      <c r="BJ255" s="692"/>
      <c r="BK255" s="692"/>
      <c r="BL255" s="692"/>
      <c r="BM255" s="692"/>
      <c r="BN255" s="692"/>
      <c r="BO255" s="692"/>
      <c r="BP255" s="692"/>
      <c r="BQ255" s="692"/>
      <c r="BR255" s="692"/>
      <c r="BS255" s="692"/>
      <c r="BT255" s="692"/>
      <c r="BU255" s="692"/>
      <c r="BV255" s="692"/>
      <c r="BW255" s="692"/>
      <c r="BX255" s="692"/>
      <c r="BY255" s="692"/>
      <c r="BZ255" s="692"/>
      <c r="CA255" s="692"/>
      <c r="CB255" s="692"/>
      <c r="CC255" s="692"/>
      <c r="CD255" s="692"/>
      <c r="CE255" s="692"/>
      <c r="CF255" s="692"/>
      <c r="CG255" s="692"/>
      <c r="CH255" s="692"/>
      <c r="CI255" s="692"/>
      <c r="CJ255" s="692"/>
      <c r="CK255" s="692"/>
      <c r="CL255" s="692"/>
      <c r="CM255" s="692"/>
      <c r="CN255" s="692"/>
      <c r="CO255" s="692"/>
      <c r="CP255" s="692"/>
      <c r="CQ255" s="692"/>
      <c r="CR255" s="692"/>
      <c r="CS255" s="692"/>
      <c r="CT255" s="692"/>
      <c r="CU255" s="692"/>
      <c r="CV255" s="692"/>
      <c r="CW255" s="692"/>
      <c r="CX255" s="692"/>
      <c r="CY255" s="692"/>
      <c r="CZ255" s="692"/>
      <c r="DA255" s="692"/>
      <c r="DB255" s="692"/>
      <c r="DC255" s="692"/>
      <c r="DD255" s="692"/>
      <c r="DE255" s="692"/>
      <c r="DF255" s="692"/>
      <c r="DG255" s="692"/>
      <c r="DH255" s="692"/>
      <c r="DI255" s="692"/>
      <c r="DJ255" s="692"/>
      <c r="DK255" s="692"/>
      <c r="DL255" s="692"/>
      <c r="DM255" s="692"/>
      <c r="DN255" s="692"/>
      <c r="DO255" s="692"/>
      <c r="DP255" s="692"/>
      <c r="DQ255" s="692"/>
      <c r="DR255" s="692"/>
      <c r="DS255" s="692"/>
      <c r="DT255" s="692"/>
      <c r="DU255" s="692"/>
      <c r="DV255" s="692"/>
      <c r="DW255" s="692"/>
      <c r="DX255" s="692"/>
      <c r="DY255" s="692"/>
      <c r="DZ255" s="692"/>
      <c r="EA255" s="692"/>
      <c r="EB255" s="692"/>
      <c r="EC255" s="692"/>
      <c r="ED255" s="692"/>
      <c r="EE255" s="692"/>
      <c r="EF255" s="692"/>
      <c r="EG255" s="692"/>
      <c r="EH255" s="692"/>
      <c r="EI255" s="692"/>
      <c r="EJ255" s="692"/>
      <c r="EK255" s="692"/>
      <c r="EL255" s="692"/>
      <c r="EM255" s="692"/>
      <c r="EN255" s="692"/>
      <c r="EO255" s="692"/>
      <c r="EP255" s="692"/>
      <c r="EQ255" s="692"/>
      <c r="ER255" s="692"/>
      <c r="ES255" s="692"/>
      <c r="ET255" s="692"/>
      <c r="EU255" s="692"/>
      <c r="EV255" s="692"/>
      <c r="EW255" s="692"/>
      <c r="EX255" s="692"/>
      <c r="EY255" s="692"/>
      <c r="EZ255" s="692"/>
      <c r="FA255" s="692"/>
      <c r="FB255" s="692"/>
      <c r="FC255" s="692"/>
      <c r="FD255" s="692"/>
      <c r="FE255" s="692"/>
      <c r="FF255" s="692"/>
      <c r="FG255" s="692"/>
      <c r="FH255" s="692"/>
      <c r="FI255" s="692"/>
      <c r="FJ255" s="692"/>
      <c r="FK255" s="692"/>
      <c r="FL255" s="692"/>
      <c r="FM255" s="692"/>
      <c r="FN255" s="692"/>
      <c r="FO255" s="692"/>
      <c r="FP255" s="692"/>
      <c r="FQ255" s="692"/>
      <c r="FR255" s="692"/>
      <c r="FS255" s="692"/>
      <c r="FT255" s="692"/>
      <c r="FU255" s="692"/>
      <c r="FV255" s="692"/>
      <c r="FW255" s="692"/>
      <c r="FX255" s="692"/>
      <c r="FY255" s="692"/>
      <c r="FZ255" s="692"/>
      <c r="GA255" s="692"/>
      <c r="GB255" s="692"/>
      <c r="GC255" s="692"/>
      <c r="GD255" s="692"/>
      <c r="GE255" s="692"/>
      <c r="GF255" s="692"/>
      <c r="GG255" s="692"/>
      <c r="GH255" s="692"/>
      <c r="GI255" s="692"/>
      <c r="GJ255" s="692"/>
      <c r="GK255" s="692"/>
      <c r="GL255" s="692"/>
      <c r="GM255" s="692"/>
      <c r="GN255" s="692"/>
      <c r="GO255" s="692"/>
      <c r="GP255" s="692"/>
      <c r="GQ255" s="692"/>
      <c r="GR255" s="692"/>
      <c r="GS255" s="692"/>
      <c r="GT255" s="692"/>
      <c r="GU255" s="692"/>
      <c r="GV255" s="692"/>
      <c r="GW255" s="692"/>
      <c r="GX255" s="692"/>
      <c r="GY255" s="692"/>
      <c r="GZ255" s="692"/>
      <c r="HA255" s="692"/>
      <c r="HB255" s="692"/>
      <c r="HC255" s="692"/>
      <c r="HD255" s="692"/>
      <c r="HE255" s="692"/>
      <c r="HF255" s="692"/>
      <c r="HG255" s="692"/>
      <c r="HH255" s="692"/>
      <c r="HI255" s="692"/>
      <c r="HJ255" s="692"/>
      <c r="HK255" s="692"/>
      <c r="HL255" s="692"/>
      <c r="HM255" s="692"/>
      <c r="HN255" s="692"/>
      <c r="HO255" s="692"/>
      <c r="HP255" s="692"/>
      <c r="HQ255" s="692"/>
      <c r="HR255" s="692"/>
      <c r="HS255" s="692"/>
      <c r="HT255" s="692"/>
      <c r="HU255" s="692"/>
      <c r="HV255" s="692"/>
      <c r="HW255" s="692"/>
      <c r="HX255" s="692"/>
      <c r="HY255" s="692"/>
      <c r="HZ255" s="692"/>
      <c r="IA255" s="692"/>
      <c r="IB255" s="692"/>
      <c r="IC255" s="692"/>
      <c r="ID255" s="692"/>
      <c r="IE255" s="692"/>
      <c r="IF255" s="692"/>
      <c r="IG255" s="692"/>
      <c r="IH255" s="692"/>
      <c r="II255" s="692"/>
      <c r="IJ255" s="692"/>
      <c r="IK255" s="692"/>
      <c r="IL255" s="692"/>
      <c r="IM255" s="692"/>
      <c r="IN255" s="692"/>
      <c r="IO255" s="692"/>
      <c r="IP255" s="692"/>
      <c r="IQ255" s="692"/>
      <c r="IR255" s="692"/>
      <c r="IS255" s="692"/>
      <c r="IT255" s="692"/>
      <c r="IU255" s="692"/>
      <c r="IV255" s="692"/>
      <c r="IW255" s="692"/>
      <c r="IX255" s="692"/>
      <c r="IY255" s="692"/>
      <c r="IZ255" s="692"/>
      <c r="JA255" s="692"/>
      <c r="JB255" s="692"/>
      <c r="JC255" s="692"/>
      <c r="JD255" s="692"/>
      <c r="JE255" s="692"/>
      <c r="JF255" s="692"/>
      <c r="JG255" s="692"/>
      <c r="JH255" s="692"/>
      <c r="JI255" s="692"/>
      <c r="JJ255" s="692"/>
      <c r="JK255" s="692"/>
      <c r="JL255" s="692"/>
      <c r="JM255" s="692"/>
      <c r="JN255" s="692"/>
      <c r="JO255" s="692"/>
      <c r="JP255" s="692"/>
      <c r="JQ255" s="692"/>
      <c r="JR255" s="692"/>
      <c r="JS255" s="692"/>
      <c r="JT255" s="692"/>
      <c r="JU255" s="692"/>
      <c r="JV255" s="692"/>
      <c r="JW255" s="692"/>
      <c r="JX255" s="692"/>
      <c r="JY255" s="692"/>
      <c r="JZ255" s="692"/>
      <c r="KA255" s="692"/>
      <c r="KB255" s="692"/>
      <c r="KC255" s="692"/>
      <c r="KD255" s="692"/>
      <c r="KE255" s="692"/>
      <c r="KF255" s="692"/>
      <c r="KG255" s="692"/>
      <c r="KH255" s="692"/>
      <c r="KI255" s="692"/>
      <c r="KJ255" s="692"/>
      <c r="KK255" s="692"/>
      <c r="KL255" s="692"/>
      <c r="KM255" s="692"/>
      <c r="KN255" s="692"/>
      <c r="KO255" s="692"/>
      <c r="KP255" s="692"/>
      <c r="KQ255" s="692"/>
      <c r="KR255" s="692"/>
      <c r="KS255" s="692"/>
      <c r="KT255" s="692"/>
      <c r="KU255" s="692"/>
      <c r="KV255" s="692"/>
      <c r="KW255" s="692"/>
      <c r="KX255" s="692"/>
      <c r="KY255" s="692"/>
      <c r="KZ255" s="692"/>
      <c r="LA255" s="692"/>
      <c r="LB255" s="692"/>
      <c r="LC255" s="692"/>
      <c r="LD255" s="692"/>
      <c r="LE255" s="692"/>
      <c r="LF255" s="692"/>
      <c r="LG255" s="692"/>
      <c r="LH255" s="692"/>
      <c r="LI255" s="692"/>
      <c r="LJ255" s="692"/>
      <c r="LK255" s="692"/>
      <c r="LL255" s="692"/>
      <c r="LM255" s="692"/>
      <c r="LN255" s="692"/>
      <c r="LO255" s="692"/>
      <c r="LP255" s="692"/>
      <c r="LQ255" s="692"/>
      <c r="LR255" s="692"/>
      <c r="LS255" s="692"/>
      <c r="LT255" s="692"/>
      <c r="LU255" s="692"/>
      <c r="LV255" s="692"/>
      <c r="LW255" s="692"/>
      <c r="LX255" s="692"/>
      <c r="LY255" s="692"/>
      <c r="LZ255" s="692"/>
      <c r="MA255" s="692"/>
      <c r="MB255" s="692"/>
      <c r="MC255" s="692"/>
      <c r="MD255" s="692"/>
      <c r="ME255" s="692"/>
      <c r="MF255" s="692"/>
      <c r="MG255" s="692"/>
      <c r="MH255" s="692"/>
      <c r="MI255" s="692"/>
      <c r="MJ255" s="692"/>
      <c r="MK255" s="692"/>
      <c r="ML255" s="692"/>
      <c r="MM255" s="692"/>
      <c r="MN255" s="692"/>
      <c r="MO255" s="692"/>
      <c r="MP255" s="692"/>
      <c r="MQ255" s="692"/>
      <c r="MR255" s="692"/>
      <c r="MS255" s="692"/>
      <c r="MT255" s="692"/>
      <c r="MU255" s="692"/>
      <c r="MV255" s="692"/>
      <c r="MW255" s="692"/>
      <c r="MX255" s="692"/>
      <c r="MY255" s="692"/>
      <c r="MZ255" s="692"/>
      <c r="NA255" s="692"/>
      <c r="NB255" s="692"/>
      <c r="NC255" s="692"/>
      <c r="ND255" s="692"/>
      <c r="NE255" s="692"/>
      <c r="NF255" s="692"/>
      <c r="NG255" s="692"/>
      <c r="NH255" s="692"/>
      <c r="NI255" s="692"/>
      <c r="NJ255" s="692"/>
      <c r="NK255" s="692"/>
      <c r="NL255" s="692"/>
      <c r="NM255" s="692"/>
      <c r="NN255" s="692"/>
      <c r="NO255" s="692"/>
      <c r="NP255" s="692"/>
      <c r="NQ255" s="692"/>
      <c r="NR255" s="692"/>
    </row>
    <row r="256" spans="1:382" ht="15.75" thickBot="1" x14ac:dyDescent="0.3">
      <c r="A256" s="680"/>
      <c r="B256" s="189" t="s">
        <v>1715</v>
      </c>
      <c r="C256" s="408">
        <f>C253*C255</f>
        <v>0</v>
      </c>
      <c r="D256" s="680" t="s">
        <v>1575</v>
      </c>
      <c r="E256" s="25"/>
      <c r="F256" s="203"/>
      <c r="G256" s="692"/>
      <c r="H256" s="692"/>
      <c r="I256" s="692"/>
      <c r="J256" s="692"/>
      <c r="K256" s="692"/>
      <c r="L256" s="692"/>
      <c r="M256" s="692"/>
      <c r="N256" s="692"/>
      <c r="O256" s="692"/>
      <c r="P256" s="692"/>
      <c r="Q256" s="692"/>
      <c r="R256" s="692"/>
      <c r="S256" s="692"/>
      <c r="T256" s="692"/>
      <c r="U256" s="692"/>
      <c r="V256" s="692"/>
      <c r="W256" s="692"/>
      <c r="X256" s="692"/>
      <c r="Y256" s="692"/>
      <c r="Z256" s="692"/>
      <c r="AA256" s="692"/>
      <c r="AB256" s="692"/>
      <c r="AC256" s="692"/>
      <c r="AD256" s="692"/>
      <c r="AE256" s="692"/>
      <c r="AF256" s="692"/>
      <c r="AG256" s="692"/>
      <c r="AH256" s="692"/>
      <c r="AI256" s="692"/>
      <c r="AJ256" s="692"/>
      <c r="AK256" s="692"/>
      <c r="AL256" s="692"/>
      <c r="AM256" s="692"/>
      <c r="AN256" s="692"/>
      <c r="AO256" s="692"/>
      <c r="AP256" s="692"/>
      <c r="AQ256" s="692"/>
      <c r="AR256" s="692"/>
      <c r="AS256" s="692"/>
      <c r="AT256" s="692"/>
      <c r="AU256" s="692"/>
      <c r="AV256" s="692"/>
      <c r="AW256" s="692"/>
      <c r="AX256" s="692"/>
      <c r="AY256" s="692"/>
      <c r="AZ256" s="692"/>
      <c r="BA256" s="692"/>
      <c r="BB256" s="692"/>
      <c r="BC256" s="692"/>
      <c r="BD256" s="692"/>
      <c r="BE256" s="692"/>
      <c r="BF256" s="692"/>
      <c r="BG256" s="692"/>
      <c r="BH256" s="692"/>
      <c r="BI256" s="692"/>
      <c r="BJ256" s="692"/>
      <c r="BK256" s="692"/>
      <c r="BL256" s="692"/>
      <c r="BM256" s="692"/>
      <c r="BN256" s="692"/>
      <c r="BO256" s="692"/>
      <c r="BP256" s="692"/>
      <c r="BQ256" s="692"/>
      <c r="BR256" s="692"/>
      <c r="BS256" s="692"/>
      <c r="BT256" s="692"/>
      <c r="BU256" s="692"/>
      <c r="BV256" s="692"/>
      <c r="BW256" s="692"/>
      <c r="BX256" s="692"/>
      <c r="BY256" s="692"/>
      <c r="BZ256" s="692"/>
      <c r="CA256" s="692"/>
      <c r="CB256" s="692"/>
      <c r="CC256" s="692"/>
      <c r="CD256" s="692"/>
      <c r="CE256" s="692"/>
      <c r="CF256" s="692"/>
      <c r="CG256" s="692"/>
      <c r="CH256" s="692"/>
      <c r="CI256" s="692"/>
      <c r="CJ256" s="692"/>
      <c r="CK256" s="692"/>
      <c r="CL256" s="692"/>
      <c r="CM256" s="692"/>
      <c r="CN256" s="692"/>
      <c r="CO256" s="692"/>
      <c r="CP256" s="692"/>
      <c r="CQ256" s="692"/>
      <c r="CR256" s="692"/>
      <c r="CS256" s="692"/>
      <c r="CT256" s="692"/>
      <c r="CU256" s="692"/>
      <c r="CV256" s="692"/>
      <c r="CW256" s="692"/>
      <c r="CX256" s="692"/>
      <c r="CY256" s="692"/>
      <c r="CZ256" s="692"/>
      <c r="DA256" s="692"/>
      <c r="DB256" s="692"/>
      <c r="DC256" s="692"/>
      <c r="DD256" s="692"/>
      <c r="DE256" s="692"/>
      <c r="DF256" s="692"/>
      <c r="DG256" s="692"/>
      <c r="DH256" s="692"/>
      <c r="DI256" s="692"/>
      <c r="DJ256" s="692"/>
      <c r="DK256" s="692"/>
      <c r="DL256" s="692"/>
      <c r="DM256" s="692"/>
      <c r="DN256" s="692"/>
      <c r="DO256" s="692"/>
      <c r="DP256" s="692"/>
      <c r="DQ256" s="692"/>
      <c r="DR256" s="692"/>
      <c r="DS256" s="692"/>
      <c r="DT256" s="692"/>
      <c r="DU256" s="692"/>
      <c r="DV256" s="692"/>
      <c r="DW256" s="692"/>
      <c r="DX256" s="692"/>
      <c r="DY256" s="692"/>
      <c r="DZ256" s="692"/>
      <c r="EA256" s="692"/>
      <c r="EB256" s="692"/>
      <c r="EC256" s="692"/>
      <c r="ED256" s="692"/>
      <c r="EE256" s="692"/>
      <c r="EF256" s="692"/>
      <c r="EG256" s="692"/>
      <c r="EH256" s="692"/>
      <c r="EI256" s="692"/>
      <c r="EJ256" s="692"/>
      <c r="EK256" s="692"/>
      <c r="EL256" s="692"/>
      <c r="EM256" s="692"/>
      <c r="EN256" s="692"/>
      <c r="EO256" s="692"/>
      <c r="EP256" s="692"/>
      <c r="EQ256" s="692"/>
      <c r="ER256" s="692"/>
      <c r="ES256" s="692"/>
      <c r="ET256" s="692"/>
      <c r="EU256" s="692"/>
      <c r="EV256" s="692"/>
      <c r="EW256" s="692"/>
      <c r="EX256" s="692"/>
      <c r="EY256" s="692"/>
      <c r="EZ256" s="692"/>
      <c r="FA256" s="692"/>
      <c r="FB256" s="692"/>
      <c r="FC256" s="692"/>
      <c r="FD256" s="692"/>
      <c r="FE256" s="692"/>
      <c r="FF256" s="692"/>
      <c r="FG256" s="692"/>
      <c r="FH256" s="692"/>
      <c r="FI256" s="692"/>
      <c r="FJ256" s="692"/>
      <c r="FK256" s="692"/>
      <c r="FL256" s="692"/>
      <c r="FM256" s="692"/>
      <c r="FN256" s="692"/>
      <c r="FO256" s="692"/>
      <c r="FP256" s="692"/>
      <c r="FQ256" s="692"/>
      <c r="FR256" s="692"/>
      <c r="FS256" s="692"/>
      <c r="FT256" s="692"/>
      <c r="FU256" s="692"/>
      <c r="FV256" s="692"/>
      <c r="FW256" s="692"/>
      <c r="FX256" s="692"/>
      <c r="FY256" s="692"/>
      <c r="FZ256" s="692"/>
      <c r="GA256" s="692"/>
      <c r="GB256" s="692"/>
      <c r="GC256" s="692"/>
      <c r="GD256" s="692"/>
      <c r="GE256" s="692"/>
      <c r="GF256" s="692"/>
      <c r="GG256" s="692"/>
      <c r="GH256" s="692"/>
      <c r="GI256" s="692"/>
      <c r="GJ256" s="692"/>
      <c r="GK256" s="692"/>
      <c r="GL256" s="692"/>
      <c r="GM256" s="692"/>
      <c r="GN256" s="692"/>
      <c r="GO256" s="692"/>
      <c r="GP256" s="692"/>
      <c r="GQ256" s="692"/>
      <c r="GR256" s="692"/>
      <c r="GS256" s="692"/>
      <c r="GT256" s="692"/>
      <c r="GU256" s="692"/>
      <c r="GV256" s="692"/>
      <c r="GW256" s="692"/>
      <c r="GX256" s="692"/>
      <c r="GY256" s="692"/>
      <c r="GZ256" s="692"/>
      <c r="HA256" s="692"/>
      <c r="HB256" s="692"/>
      <c r="HC256" s="692"/>
      <c r="HD256" s="692"/>
      <c r="HE256" s="692"/>
      <c r="HF256" s="692"/>
      <c r="HG256" s="692"/>
      <c r="HH256" s="692"/>
      <c r="HI256" s="692"/>
      <c r="HJ256" s="692"/>
      <c r="HK256" s="692"/>
      <c r="HL256" s="692"/>
      <c r="HM256" s="692"/>
      <c r="HN256" s="692"/>
      <c r="HO256" s="692"/>
      <c r="HP256" s="692"/>
      <c r="HQ256" s="692"/>
      <c r="HR256" s="692"/>
      <c r="HS256" s="692"/>
      <c r="HT256" s="692"/>
      <c r="HU256" s="692"/>
      <c r="HV256" s="692"/>
      <c r="HW256" s="692"/>
      <c r="HX256" s="692"/>
      <c r="HY256" s="692"/>
      <c r="HZ256" s="692"/>
      <c r="IA256" s="692"/>
      <c r="IB256" s="692"/>
      <c r="IC256" s="692"/>
      <c r="ID256" s="692"/>
      <c r="IE256" s="692"/>
      <c r="IF256" s="692"/>
      <c r="IG256" s="692"/>
      <c r="IH256" s="692"/>
      <c r="II256" s="692"/>
      <c r="IJ256" s="692"/>
      <c r="IK256" s="692"/>
      <c r="IL256" s="692"/>
      <c r="IM256" s="692"/>
      <c r="IN256" s="692"/>
      <c r="IO256" s="692"/>
      <c r="IP256" s="692"/>
      <c r="IQ256" s="692"/>
      <c r="IR256" s="692"/>
      <c r="IS256" s="692"/>
      <c r="IT256" s="692"/>
      <c r="IU256" s="692"/>
      <c r="IV256" s="692"/>
      <c r="IW256" s="692"/>
      <c r="IX256" s="692"/>
      <c r="IY256" s="692"/>
      <c r="IZ256" s="692"/>
      <c r="JA256" s="692"/>
      <c r="JB256" s="692"/>
      <c r="JC256" s="692"/>
      <c r="JD256" s="692"/>
      <c r="JE256" s="692"/>
      <c r="JF256" s="692"/>
      <c r="JG256" s="692"/>
      <c r="JH256" s="692"/>
      <c r="JI256" s="692"/>
      <c r="JJ256" s="692"/>
      <c r="JK256" s="692"/>
      <c r="JL256" s="692"/>
      <c r="JM256" s="692"/>
      <c r="JN256" s="692"/>
      <c r="JO256" s="692"/>
      <c r="JP256" s="692"/>
      <c r="JQ256" s="692"/>
      <c r="JR256" s="692"/>
      <c r="JS256" s="692"/>
      <c r="JT256" s="692"/>
      <c r="JU256" s="692"/>
      <c r="JV256" s="692"/>
      <c r="JW256" s="692"/>
      <c r="JX256" s="692"/>
      <c r="JY256" s="692"/>
      <c r="JZ256" s="692"/>
      <c r="KA256" s="692"/>
      <c r="KB256" s="692"/>
      <c r="KC256" s="692"/>
      <c r="KD256" s="692"/>
      <c r="KE256" s="692"/>
      <c r="KF256" s="692"/>
      <c r="KG256" s="692"/>
      <c r="KH256" s="692"/>
      <c r="KI256" s="692"/>
      <c r="KJ256" s="692"/>
      <c r="KK256" s="692"/>
      <c r="KL256" s="692"/>
      <c r="KM256" s="692"/>
      <c r="KN256" s="692"/>
      <c r="KO256" s="692"/>
      <c r="KP256" s="692"/>
      <c r="KQ256" s="692"/>
      <c r="KR256" s="692"/>
      <c r="KS256" s="692"/>
      <c r="KT256" s="692"/>
      <c r="KU256" s="692"/>
      <c r="KV256" s="692"/>
      <c r="KW256" s="692"/>
      <c r="KX256" s="692"/>
      <c r="KY256" s="692"/>
      <c r="KZ256" s="692"/>
      <c r="LA256" s="692"/>
      <c r="LB256" s="692"/>
      <c r="LC256" s="692"/>
      <c r="LD256" s="692"/>
      <c r="LE256" s="692"/>
      <c r="LF256" s="692"/>
      <c r="LG256" s="692"/>
      <c r="LH256" s="692"/>
      <c r="LI256" s="692"/>
      <c r="LJ256" s="692"/>
      <c r="LK256" s="692"/>
      <c r="LL256" s="692"/>
      <c r="LM256" s="692"/>
      <c r="LN256" s="692"/>
      <c r="LO256" s="692"/>
      <c r="LP256" s="692"/>
      <c r="LQ256" s="692"/>
      <c r="LR256" s="692"/>
      <c r="LS256" s="692"/>
      <c r="LT256" s="692"/>
      <c r="LU256" s="692"/>
      <c r="LV256" s="692"/>
      <c r="LW256" s="692"/>
      <c r="LX256" s="692"/>
      <c r="LY256" s="692"/>
      <c r="LZ256" s="692"/>
      <c r="MA256" s="692"/>
      <c r="MB256" s="692"/>
      <c r="MC256" s="692"/>
      <c r="MD256" s="692"/>
      <c r="ME256" s="692"/>
      <c r="MF256" s="692"/>
      <c r="MG256" s="692"/>
      <c r="MH256" s="692"/>
      <c r="MI256" s="692"/>
      <c r="MJ256" s="692"/>
      <c r="MK256" s="692"/>
      <c r="ML256" s="692"/>
      <c r="MM256" s="692"/>
      <c r="MN256" s="692"/>
      <c r="MO256" s="692"/>
      <c r="MP256" s="692"/>
      <c r="MQ256" s="692"/>
      <c r="MR256" s="692"/>
      <c r="MS256" s="692"/>
      <c r="MT256" s="692"/>
      <c r="MU256" s="692"/>
      <c r="MV256" s="692"/>
      <c r="MW256" s="692"/>
      <c r="MX256" s="692"/>
      <c r="MY256" s="692"/>
      <c r="MZ256" s="692"/>
      <c r="NA256" s="692"/>
      <c r="NB256" s="692"/>
      <c r="NC256" s="692"/>
      <c r="ND256" s="692"/>
      <c r="NE256" s="692"/>
      <c r="NF256" s="692"/>
      <c r="NG256" s="692"/>
      <c r="NH256" s="692"/>
      <c r="NI256" s="692"/>
      <c r="NJ256" s="692"/>
      <c r="NK256" s="692"/>
      <c r="NL256" s="692"/>
      <c r="NM256" s="692"/>
      <c r="NN256" s="692"/>
      <c r="NO256" s="692"/>
      <c r="NP256" s="692"/>
      <c r="NQ256" s="692"/>
      <c r="NR256" s="692"/>
    </row>
    <row r="257" spans="1:382" ht="15.75" thickBot="1" x14ac:dyDescent="0.3">
      <c r="A257" s="680"/>
      <c r="B257" s="121"/>
      <c r="C257" s="509"/>
      <c r="D257" s="25"/>
      <c r="E257" s="25"/>
      <c r="F257" s="203"/>
      <c r="G257" s="692"/>
      <c r="H257" s="692"/>
      <c r="I257" s="692"/>
      <c r="J257" s="692"/>
      <c r="K257" s="692"/>
      <c r="L257" s="692"/>
      <c r="M257" s="692"/>
      <c r="N257" s="692"/>
      <c r="O257" s="692"/>
      <c r="P257" s="692"/>
      <c r="Q257" s="692"/>
      <c r="R257" s="692"/>
      <c r="S257" s="692"/>
      <c r="T257" s="692"/>
      <c r="U257" s="692"/>
      <c r="V257" s="692"/>
      <c r="W257" s="692"/>
      <c r="X257" s="692"/>
      <c r="Y257" s="692"/>
      <c r="Z257" s="692"/>
      <c r="AA257" s="692"/>
      <c r="AB257" s="692"/>
      <c r="AC257" s="692"/>
      <c r="AD257" s="692"/>
      <c r="AE257" s="692"/>
      <c r="AF257" s="692"/>
      <c r="AG257" s="692"/>
      <c r="AH257" s="692"/>
      <c r="AI257" s="692"/>
      <c r="AJ257" s="692"/>
      <c r="AK257" s="692"/>
      <c r="AL257" s="692"/>
      <c r="AM257" s="692"/>
      <c r="AN257" s="692"/>
      <c r="AO257" s="692"/>
      <c r="AP257" s="692"/>
      <c r="AQ257" s="692"/>
      <c r="AR257" s="692"/>
      <c r="AS257" s="692"/>
      <c r="AT257" s="692"/>
      <c r="AU257" s="692"/>
      <c r="AV257" s="692"/>
      <c r="AW257" s="692"/>
      <c r="AX257" s="692"/>
      <c r="AY257" s="692"/>
      <c r="AZ257" s="692"/>
      <c r="BA257" s="692"/>
      <c r="BB257" s="692"/>
      <c r="BC257" s="692"/>
      <c r="BD257" s="692"/>
      <c r="BE257" s="692"/>
      <c r="BF257" s="692"/>
      <c r="BG257" s="692"/>
      <c r="BH257" s="692"/>
      <c r="BI257" s="692"/>
      <c r="BJ257" s="692"/>
      <c r="BK257" s="692"/>
      <c r="BL257" s="692"/>
      <c r="BM257" s="692"/>
      <c r="BN257" s="692"/>
      <c r="BO257" s="692"/>
      <c r="BP257" s="692"/>
      <c r="BQ257" s="692"/>
      <c r="BR257" s="692"/>
      <c r="BS257" s="692"/>
      <c r="BT257" s="692"/>
      <c r="BU257" s="692"/>
      <c r="BV257" s="692"/>
      <c r="BW257" s="692"/>
      <c r="BX257" s="692"/>
      <c r="BY257" s="692"/>
      <c r="BZ257" s="692"/>
      <c r="CA257" s="692"/>
      <c r="CB257" s="692"/>
      <c r="CC257" s="692"/>
      <c r="CD257" s="692"/>
      <c r="CE257" s="692"/>
      <c r="CF257" s="692"/>
      <c r="CG257" s="692"/>
      <c r="CH257" s="692"/>
      <c r="CI257" s="692"/>
      <c r="CJ257" s="692"/>
      <c r="CK257" s="692"/>
      <c r="CL257" s="692"/>
      <c r="CM257" s="692"/>
      <c r="CN257" s="692"/>
      <c r="CO257" s="692"/>
      <c r="CP257" s="692"/>
      <c r="CQ257" s="692"/>
      <c r="CR257" s="692"/>
      <c r="CS257" s="692"/>
      <c r="CT257" s="692"/>
      <c r="CU257" s="692"/>
      <c r="CV257" s="692"/>
      <c r="CW257" s="692"/>
      <c r="CX257" s="692"/>
      <c r="CY257" s="692"/>
      <c r="CZ257" s="692"/>
      <c r="DA257" s="692"/>
      <c r="DB257" s="692"/>
      <c r="DC257" s="692"/>
      <c r="DD257" s="692"/>
      <c r="DE257" s="692"/>
      <c r="DF257" s="692"/>
      <c r="DG257" s="692"/>
      <c r="DH257" s="692"/>
      <c r="DI257" s="692"/>
      <c r="DJ257" s="692"/>
      <c r="DK257" s="692"/>
      <c r="DL257" s="692"/>
      <c r="DM257" s="692"/>
      <c r="DN257" s="692"/>
      <c r="DO257" s="692"/>
      <c r="DP257" s="692"/>
      <c r="DQ257" s="692"/>
      <c r="DR257" s="692"/>
      <c r="DS257" s="692"/>
      <c r="DT257" s="692"/>
      <c r="DU257" s="692"/>
      <c r="DV257" s="692"/>
      <c r="DW257" s="692"/>
      <c r="DX257" s="692"/>
      <c r="DY257" s="692"/>
      <c r="DZ257" s="692"/>
      <c r="EA257" s="692"/>
      <c r="EB257" s="692"/>
      <c r="EC257" s="692"/>
      <c r="ED257" s="692"/>
      <c r="EE257" s="692"/>
      <c r="EF257" s="692"/>
      <c r="EG257" s="692"/>
      <c r="EH257" s="692"/>
      <c r="EI257" s="692"/>
      <c r="EJ257" s="692"/>
      <c r="EK257" s="692"/>
      <c r="EL257" s="692"/>
      <c r="EM257" s="692"/>
      <c r="EN257" s="692"/>
      <c r="EO257" s="692"/>
      <c r="EP257" s="692"/>
      <c r="EQ257" s="692"/>
      <c r="ER257" s="692"/>
      <c r="ES257" s="692"/>
      <c r="ET257" s="692"/>
      <c r="EU257" s="692"/>
      <c r="EV257" s="692"/>
      <c r="EW257" s="692"/>
      <c r="EX257" s="692"/>
      <c r="EY257" s="692"/>
      <c r="EZ257" s="692"/>
      <c r="FA257" s="692"/>
      <c r="FB257" s="692"/>
      <c r="FC257" s="692"/>
      <c r="FD257" s="692"/>
      <c r="FE257" s="692"/>
      <c r="FF257" s="692"/>
      <c r="FG257" s="692"/>
      <c r="FH257" s="692"/>
      <c r="FI257" s="692"/>
      <c r="FJ257" s="692"/>
      <c r="FK257" s="692"/>
      <c r="FL257" s="692"/>
      <c r="FM257" s="692"/>
      <c r="FN257" s="692"/>
      <c r="FO257" s="692"/>
      <c r="FP257" s="692"/>
      <c r="FQ257" s="692"/>
      <c r="FR257" s="692"/>
      <c r="FS257" s="692"/>
      <c r="FT257" s="692"/>
      <c r="FU257" s="692"/>
      <c r="FV257" s="692"/>
      <c r="FW257" s="692"/>
      <c r="FX257" s="692"/>
      <c r="FY257" s="692"/>
      <c r="FZ257" s="692"/>
      <c r="GA257" s="692"/>
      <c r="GB257" s="692"/>
      <c r="GC257" s="692"/>
      <c r="GD257" s="692"/>
      <c r="GE257" s="692"/>
      <c r="GF257" s="692"/>
      <c r="GG257" s="692"/>
      <c r="GH257" s="692"/>
      <c r="GI257" s="692"/>
      <c r="GJ257" s="692"/>
      <c r="GK257" s="692"/>
      <c r="GL257" s="692"/>
      <c r="GM257" s="692"/>
      <c r="GN257" s="692"/>
      <c r="GO257" s="692"/>
      <c r="GP257" s="692"/>
      <c r="GQ257" s="692"/>
      <c r="GR257" s="692"/>
      <c r="GS257" s="692"/>
      <c r="GT257" s="692"/>
      <c r="GU257" s="692"/>
      <c r="GV257" s="692"/>
      <c r="GW257" s="692"/>
      <c r="GX257" s="692"/>
      <c r="GY257" s="692"/>
      <c r="GZ257" s="692"/>
      <c r="HA257" s="692"/>
      <c r="HB257" s="692"/>
      <c r="HC257" s="692"/>
      <c r="HD257" s="692"/>
      <c r="HE257" s="692"/>
      <c r="HF257" s="692"/>
      <c r="HG257" s="692"/>
      <c r="HH257" s="692"/>
      <c r="HI257" s="692"/>
      <c r="HJ257" s="692"/>
      <c r="HK257" s="692"/>
      <c r="HL257" s="692"/>
      <c r="HM257" s="692"/>
      <c r="HN257" s="692"/>
      <c r="HO257" s="692"/>
      <c r="HP257" s="692"/>
      <c r="HQ257" s="692"/>
      <c r="HR257" s="692"/>
      <c r="HS257" s="692"/>
      <c r="HT257" s="692"/>
      <c r="HU257" s="692"/>
      <c r="HV257" s="692"/>
      <c r="HW257" s="692"/>
      <c r="HX257" s="692"/>
      <c r="HY257" s="692"/>
      <c r="HZ257" s="692"/>
      <c r="IA257" s="692"/>
      <c r="IB257" s="692"/>
      <c r="IC257" s="692"/>
      <c r="ID257" s="692"/>
      <c r="IE257" s="692"/>
      <c r="IF257" s="692"/>
      <c r="IG257" s="692"/>
      <c r="IH257" s="692"/>
      <c r="II257" s="692"/>
      <c r="IJ257" s="692"/>
      <c r="IK257" s="692"/>
      <c r="IL257" s="692"/>
      <c r="IM257" s="692"/>
      <c r="IN257" s="692"/>
      <c r="IO257" s="692"/>
      <c r="IP257" s="692"/>
      <c r="IQ257" s="692"/>
      <c r="IR257" s="692"/>
      <c r="IS257" s="692"/>
      <c r="IT257" s="692"/>
      <c r="IU257" s="692"/>
      <c r="IV257" s="692"/>
      <c r="IW257" s="692"/>
      <c r="IX257" s="692"/>
      <c r="IY257" s="692"/>
      <c r="IZ257" s="692"/>
      <c r="JA257" s="692"/>
      <c r="JB257" s="692"/>
      <c r="JC257" s="692"/>
      <c r="JD257" s="692"/>
      <c r="JE257" s="692"/>
      <c r="JF257" s="692"/>
      <c r="JG257" s="692"/>
      <c r="JH257" s="692"/>
      <c r="JI257" s="692"/>
      <c r="JJ257" s="692"/>
      <c r="JK257" s="692"/>
      <c r="JL257" s="692"/>
      <c r="JM257" s="692"/>
      <c r="JN257" s="692"/>
      <c r="JO257" s="692"/>
      <c r="JP257" s="692"/>
      <c r="JQ257" s="692"/>
      <c r="JR257" s="692"/>
      <c r="JS257" s="692"/>
      <c r="JT257" s="692"/>
      <c r="JU257" s="692"/>
      <c r="JV257" s="692"/>
      <c r="JW257" s="692"/>
      <c r="JX257" s="692"/>
      <c r="JY257" s="692"/>
      <c r="JZ257" s="692"/>
      <c r="KA257" s="692"/>
      <c r="KB257" s="692"/>
      <c r="KC257" s="692"/>
      <c r="KD257" s="692"/>
      <c r="KE257" s="692"/>
      <c r="KF257" s="692"/>
      <c r="KG257" s="692"/>
      <c r="KH257" s="692"/>
      <c r="KI257" s="692"/>
      <c r="KJ257" s="692"/>
      <c r="KK257" s="692"/>
      <c r="KL257" s="692"/>
      <c r="KM257" s="692"/>
      <c r="KN257" s="692"/>
      <c r="KO257" s="692"/>
      <c r="KP257" s="692"/>
      <c r="KQ257" s="692"/>
      <c r="KR257" s="692"/>
      <c r="KS257" s="692"/>
      <c r="KT257" s="692"/>
      <c r="KU257" s="692"/>
      <c r="KV257" s="692"/>
      <c r="KW257" s="692"/>
      <c r="KX257" s="692"/>
      <c r="KY257" s="692"/>
      <c r="KZ257" s="692"/>
      <c r="LA257" s="692"/>
      <c r="LB257" s="692"/>
      <c r="LC257" s="692"/>
      <c r="LD257" s="692"/>
      <c r="LE257" s="692"/>
      <c r="LF257" s="692"/>
      <c r="LG257" s="692"/>
      <c r="LH257" s="692"/>
      <c r="LI257" s="692"/>
      <c r="LJ257" s="692"/>
      <c r="LK257" s="692"/>
      <c r="LL257" s="692"/>
      <c r="LM257" s="692"/>
      <c r="LN257" s="692"/>
      <c r="LO257" s="692"/>
      <c r="LP257" s="692"/>
      <c r="LQ257" s="692"/>
      <c r="LR257" s="692"/>
      <c r="LS257" s="692"/>
      <c r="LT257" s="692"/>
      <c r="LU257" s="692"/>
      <c r="LV257" s="692"/>
      <c r="LW257" s="692"/>
      <c r="LX257" s="692"/>
      <c r="LY257" s="692"/>
      <c r="LZ257" s="692"/>
      <c r="MA257" s="692"/>
      <c r="MB257" s="692"/>
      <c r="MC257" s="692"/>
      <c r="MD257" s="692"/>
      <c r="ME257" s="692"/>
      <c r="MF257" s="692"/>
      <c r="MG257" s="692"/>
      <c r="MH257" s="692"/>
      <c r="MI257" s="692"/>
      <c r="MJ257" s="692"/>
      <c r="MK257" s="692"/>
      <c r="ML257" s="692"/>
      <c r="MM257" s="692"/>
      <c r="MN257" s="692"/>
      <c r="MO257" s="692"/>
      <c r="MP257" s="692"/>
      <c r="MQ257" s="692"/>
      <c r="MR257" s="692"/>
      <c r="MS257" s="692"/>
      <c r="MT257" s="692"/>
      <c r="MU257" s="692"/>
      <c r="MV257" s="692"/>
      <c r="MW257" s="692"/>
      <c r="MX257" s="692"/>
      <c r="MY257" s="692"/>
      <c r="MZ257" s="692"/>
      <c r="NA257" s="692"/>
      <c r="NB257" s="692"/>
      <c r="NC257" s="692"/>
      <c r="ND257" s="692"/>
      <c r="NE257" s="692"/>
      <c r="NF257" s="692"/>
      <c r="NG257" s="692"/>
      <c r="NH257" s="692"/>
      <c r="NI257" s="692"/>
      <c r="NJ257" s="692"/>
      <c r="NK257" s="692"/>
      <c r="NL257" s="692"/>
      <c r="NM257" s="692"/>
      <c r="NN257" s="692"/>
      <c r="NO257" s="692"/>
      <c r="NP257" s="692"/>
      <c r="NQ257" s="692"/>
      <c r="NR257" s="692"/>
    </row>
    <row r="258" spans="1:382" ht="15.75" thickBot="1" x14ac:dyDescent="0.3">
      <c r="A258" s="680"/>
      <c r="B258" s="680" t="s">
        <v>1070</v>
      </c>
      <c r="C258" s="422">
        <f>'Input Data'!E304</f>
        <v>0</v>
      </c>
      <c r="D258" s="680" t="s">
        <v>1071</v>
      </c>
      <c r="E258" s="28"/>
      <c r="F258" s="203"/>
      <c r="G258" s="692"/>
      <c r="H258" s="692"/>
      <c r="I258" s="692"/>
      <c r="J258" s="692"/>
      <c r="K258" s="692"/>
      <c r="L258" s="692"/>
      <c r="M258" s="692"/>
      <c r="N258" s="692"/>
      <c r="O258" s="692"/>
      <c r="P258" s="692"/>
      <c r="Q258" s="692"/>
      <c r="R258" s="692"/>
      <c r="S258" s="692"/>
      <c r="T258" s="692"/>
      <c r="U258" s="692"/>
      <c r="V258" s="692"/>
      <c r="W258" s="692"/>
      <c r="X258" s="692"/>
      <c r="Y258" s="692"/>
      <c r="Z258" s="692"/>
      <c r="AA258" s="692"/>
      <c r="AB258" s="692"/>
      <c r="AC258" s="692"/>
      <c r="AD258" s="692"/>
      <c r="AE258" s="692"/>
      <c r="AF258" s="692"/>
      <c r="AG258" s="692"/>
      <c r="AH258" s="692"/>
      <c r="AI258" s="692"/>
      <c r="AJ258" s="692"/>
      <c r="AK258" s="692"/>
      <c r="AL258" s="692"/>
      <c r="AM258" s="692"/>
      <c r="AN258" s="692"/>
      <c r="AO258" s="692"/>
      <c r="AP258" s="692"/>
      <c r="AQ258" s="692"/>
      <c r="AR258" s="692"/>
      <c r="AS258" s="692"/>
      <c r="AT258" s="692"/>
      <c r="AU258" s="692"/>
      <c r="AV258" s="692"/>
      <c r="AW258" s="692"/>
      <c r="AX258" s="692"/>
      <c r="AY258" s="692"/>
      <c r="AZ258" s="692"/>
      <c r="BA258" s="692"/>
      <c r="BB258" s="692"/>
      <c r="BC258" s="692"/>
      <c r="BD258" s="692"/>
      <c r="BE258" s="692"/>
      <c r="BF258" s="692"/>
      <c r="BG258" s="692"/>
      <c r="BH258" s="692"/>
      <c r="BI258" s="692"/>
      <c r="BJ258" s="692"/>
      <c r="BK258" s="692"/>
      <c r="BL258" s="692"/>
      <c r="BM258" s="692"/>
      <c r="BN258" s="692"/>
      <c r="BO258" s="692"/>
      <c r="BP258" s="692"/>
      <c r="BQ258" s="692"/>
      <c r="BR258" s="692"/>
      <c r="BS258" s="692"/>
      <c r="BT258" s="692"/>
      <c r="BU258" s="692"/>
      <c r="BV258" s="692"/>
      <c r="BW258" s="692"/>
      <c r="BX258" s="692"/>
      <c r="BY258" s="692"/>
      <c r="BZ258" s="692"/>
      <c r="CA258" s="692"/>
      <c r="CB258" s="692"/>
      <c r="CC258" s="692"/>
      <c r="CD258" s="692"/>
      <c r="CE258" s="692"/>
      <c r="CF258" s="692"/>
      <c r="CG258" s="692"/>
      <c r="CH258" s="692"/>
      <c r="CI258" s="692"/>
      <c r="CJ258" s="692"/>
      <c r="CK258" s="692"/>
      <c r="CL258" s="692"/>
      <c r="CM258" s="692"/>
      <c r="CN258" s="692"/>
      <c r="CO258" s="692"/>
      <c r="CP258" s="692"/>
      <c r="CQ258" s="692"/>
      <c r="CR258" s="692"/>
      <c r="CS258" s="692"/>
      <c r="CT258" s="692"/>
      <c r="CU258" s="692"/>
      <c r="CV258" s="692"/>
      <c r="CW258" s="692"/>
      <c r="CX258" s="692"/>
      <c r="CY258" s="692"/>
      <c r="CZ258" s="692"/>
      <c r="DA258" s="692"/>
      <c r="DB258" s="692"/>
      <c r="DC258" s="692"/>
      <c r="DD258" s="692"/>
      <c r="DE258" s="692"/>
      <c r="DF258" s="692"/>
      <c r="DG258" s="692"/>
      <c r="DH258" s="692"/>
      <c r="DI258" s="692"/>
      <c r="DJ258" s="692"/>
      <c r="DK258" s="692"/>
      <c r="DL258" s="692"/>
      <c r="DM258" s="692"/>
      <c r="DN258" s="692"/>
      <c r="DO258" s="692"/>
      <c r="DP258" s="692"/>
      <c r="DQ258" s="692"/>
      <c r="DR258" s="692"/>
      <c r="DS258" s="692"/>
      <c r="DT258" s="692"/>
      <c r="DU258" s="692"/>
      <c r="DV258" s="692"/>
      <c r="DW258" s="692"/>
      <c r="DX258" s="692"/>
      <c r="DY258" s="692"/>
      <c r="DZ258" s="692"/>
      <c r="EA258" s="692"/>
      <c r="EB258" s="692"/>
      <c r="EC258" s="692"/>
      <c r="ED258" s="692"/>
      <c r="EE258" s="692"/>
      <c r="EF258" s="692"/>
      <c r="EG258" s="692"/>
      <c r="EH258" s="692"/>
      <c r="EI258" s="692"/>
      <c r="EJ258" s="692"/>
      <c r="EK258" s="692"/>
      <c r="EL258" s="692"/>
      <c r="EM258" s="692"/>
      <c r="EN258" s="692"/>
      <c r="EO258" s="692"/>
      <c r="EP258" s="692"/>
      <c r="EQ258" s="692"/>
      <c r="ER258" s="692"/>
      <c r="ES258" s="692"/>
      <c r="ET258" s="692"/>
      <c r="EU258" s="692"/>
      <c r="EV258" s="692"/>
      <c r="EW258" s="692"/>
      <c r="EX258" s="692"/>
      <c r="EY258" s="692"/>
      <c r="EZ258" s="692"/>
      <c r="FA258" s="692"/>
      <c r="FB258" s="692"/>
      <c r="FC258" s="692"/>
      <c r="FD258" s="692"/>
      <c r="FE258" s="692"/>
      <c r="FF258" s="692"/>
      <c r="FG258" s="692"/>
      <c r="FH258" s="692"/>
      <c r="FI258" s="692"/>
      <c r="FJ258" s="692"/>
      <c r="FK258" s="692"/>
      <c r="FL258" s="692"/>
      <c r="FM258" s="692"/>
      <c r="FN258" s="692"/>
      <c r="FO258" s="692"/>
      <c r="FP258" s="692"/>
      <c r="FQ258" s="692"/>
      <c r="FR258" s="692"/>
      <c r="FS258" s="692"/>
      <c r="FT258" s="692"/>
      <c r="FU258" s="692"/>
      <c r="FV258" s="692"/>
      <c r="FW258" s="692"/>
      <c r="FX258" s="692"/>
      <c r="FY258" s="692"/>
      <c r="FZ258" s="692"/>
      <c r="GA258" s="692"/>
      <c r="GB258" s="692"/>
      <c r="GC258" s="692"/>
      <c r="GD258" s="692"/>
      <c r="GE258" s="692"/>
      <c r="GF258" s="692"/>
      <c r="GG258" s="692"/>
      <c r="GH258" s="692"/>
      <c r="GI258" s="692"/>
      <c r="GJ258" s="692"/>
      <c r="GK258" s="692"/>
      <c r="GL258" s="692"/>
      <c r="GM258" s="692"/>
      <c r="GN258" s="692"/>
      <c r="GO258" s="692"/>
      <c r="GP258" s="692"/>
      <c r="GQ258" s="692"/>
      <c r="GR258" s="692"/>
      <c r="GS258" s="692"/>
      <c r="GT258" s="692"/>
      <c r="GU258" s="692"/>
      <c r="GV258" s="692"/>
      <c r="GW258" s="692"/>
      <c r="GX258" s="692"/>
      <c r="GY258" s="692"/>
      <c r="GZ258" s="692"/>
      <c r="HA258" s="692"/>
      <c r="HB258" s="692"/>
      <c r="HC258" s="692"/>
      <c r="HD258" s="692"/>
      <c r="HE258" s="692"/>
      <c r="HF258" s="692"/>
      <c r="HG258" s="692"/>
      <c r="HH258" s="692"/>
      <c r="HI258" s="692"/>
      <c r="HJ258" s="692"/>
      <c r="HK258" s="692"/>
      <c r="HL258" s="692"/>
      <c r="HM258" s="692"/>
      <c r="HN258" s="692"/>
      <c r="HO258" s="692"/>
      <c r="HP258" s="692"/>
      <c r="HQ258" s="692"/>
      <c r="HR258" s="692"/>
      <c r="HS258" s="692"/>
      <c r="HT258" s="692"/>
      <c r="HU258" s="692"/>
      <c r="HV258" s="692"/>
      <c r="HW258" s="692"/>
      <c r="HX258" s="692"/>
      <c r="HY258" s="692"/>
      <c r="HZ258" s="692"/>
      <c r="IA258" s="692"/>
      <c r="IB258" s="692"/>
      <c r="IC258" s="692"/>
      <c r="ID258" s="692"/>
      <c r="IE258" s="692"/>
      <c r="IF258" s="692"/>
      <c r="IG258" s="692"/>
      <c r="IH258" s="692"/>
      <c r="II258" s="692"/>
      <c r="IJ258" s="692"/>
      <c r="IK258" s="692"/>
      <c r="IL258" s="692"/>
      <c r="IM258" s="692"/>
      <c r="IN258" s="692"/>
      <c r="IO258" s="692"/>
      <c r="IP258" s="692"/>
      <c r="IQ258" s="692"/>
      <c r="IR258" s="692"/>
      <c r="IS258" s="692"/>
      <c r="IT258" s="692"/>
      <c r="IU258" s="692"/>
      <c r="IV258" s="692"/>
      <c r="IW258" s="692"/>
      <c r="IX258" s="692"/>
      <c r="IY258" s="692"/>
      <c r="IZ258" s="692"/>
      <c r="JA258" s="692"/>
      <c r="JB258" s="692"/>
      <c r="JC258" s="692"/>
      <c r="JD258" s="692"/>
      <c r="JE258" s="692"/>
      <c r="JF258" s="692"/>
      <c r="JG258" s="692"/>
      <c r="JH258" s="692"/>
      <c r="JI258" s="692"/>
      <c r="JJ258" s="692"/>
      <c r="JK258" s="692"/>
      <c r="JL258" s="692"/>
      <c r="JM258" s="692"/>
      <c r="JN258" s="692"/>
      <c r="JO258" s="692"/>
      <c r="JP258" s="692"/>
      <c r="JQ258" s="692"/>
      <c r="JR258" s="692"/>
      <c r="JS258" s="692"/>
      <c r="JT258" s="692"/>
      <c r="JU258" s="692"/>
      <c r="JV258" s="692"/>
      <c r="JW258" s="692"/>
      <c r="JX258" s="692"/>
      <c r="JY258" s="692"/>
      <c r="JZ258" s="692"/>
      <c r="KA258" s="692"/>
      <c r="KB258" s="692"/>
      <c r="KC258" s="692"/>
      <c r="KD258" s="692"/>
      <c r="KE258" s="692"/>
      <c r="KF258" s="692"/>
      <c r="KG258" s="692"/>
      <c r="KH258" s="692"/>
      <c r="KI258" s="692"/>
      <c r="KJ258" s="692"/>
      <c r="KK258" s="692"/>
      <c r="KL258" s="692"/>
      <c r="KM258" s="692"/>
      <c r="KN258" s="692"/>
      <c r="KO258" s="692"/>
      <c r="KP258" s="692"/>
      <c r="KQ258" s="692"/>
      <c r="KR258" s="692"/>
      <c r="KS258" s="692"/>
      <c r="KT258" s="692"/>
      <c r="KU258" s="692"/>
      <c r="KV258" s="692"/>
      <c r="KW258" s="692"/>
      <c r="KX258" s="692"/>
      <c r="KY258" s="692"/>
      <c r="KZ258" s="692"/>
      <c r="LA258" s="692"/>
      <c r="LB258" s="692"/>
      <c r="LC258" s="692"/>
      <c r="LD258" s="692"/>
      <c r="LE258" s="692"/>
      <c r="LF258" s="692"/>
      <c r="LG258" s="692"/>
      <c r="LH258" s="692"/>
      <c r="LI258" s="692"/>
      <c r="LJ258" s="692"/>
      <c r="LK258" s="692"/>
      <c r="LL258" s="692"/>
      <c r="LM258" s="692"/>
      <c r="LN258" s="692"/>
      <c r="LO258" s="692"/>
      <c r="LP258" s="692"/>
      <c r="LQ258" s="692"/>
      <c r="LR258" s="692"/>
      <c r="LS258" s="692"/>
      <c r="LT258" s="692"/>
      <c r="LU258" s="692"/>
      <c r="LV258" s="692"/>
      <c r="LW258" s="692"/>
      <c r="LX258" s="692"/>
      <c r="LY258" s="692"/>
      <c r="LZ258" s="692"/>
      <c r="MA258" s="692"/>
      <c r="MB258" s="692"/>
      <c r="MC258" s="692"/>
      <c r="MD258" s="692"/>
      <c r="ME258" s="692"/>
      <c r="MF258" s="692"/>
      <c r="MG258" s="692"/>
      <c r="MH258" s="692"/>
      <c r="MI258" s="692"/>
      <c r="MJ258" s="692"/>
      <c r="MK258" s="692"/>
      <c r="ML258" s="692"/>
      <c r="MM258" s="692"/>
      <c r="MN258" s="692"/>
      <c r="MO258" s="692"/>
      <c r="MP258" s="692"/>
      <c r="MQ258" s="692"/>
      <c r="MR258" s="692"/>
      <c r="MS258" s="692"/>
      <c r="MT258" s="692"/>
      <c r="MU258" s="692"/>
      <c r="MV258" s="692"/>
      <c r="MW258" s="692"/>
      <c r="MX258" s="692"/>
      <c r="MY258" s="692"/>
      <c r="MZ258" s="692"/>
      <c r="NA258" s="692"/>
      <c r="NB258" s="692"/>
      <c r="NC258" s="692"/>
      <c r="ND258" s="692"/>
      <c r="NE258" s="692"/>
      <c r="NF258" s="692"/>
      <c r="NG258" s="692"/>
      <c r="NH258" s="692"/>
      <c r="NI258" s="692"/>
      <c r="NJ258" s="692"/>
      <c r="NK258" s="692"/>
      <c r="NL258" s="692"/>
      <c r="NM258" s="692"/>
      <c r="NN258" s="692"/>
      <c r="NO258" s="692"/>
      <c r="NP258" s="692"/>
      <c r="NQ258" s="692"/>
      <c r="NR258" s="692"/>
    </row>
    <row r="259" spans="1:382" ht="15.75" thickBot="1" x14ac:dyDescent="0.3">
      <c r="A259" s="680"/>
      <c r="B259" s="47" t="s">
        <v>1321</v>
      </c>
      <c r="C259" s="696">
        <f>'Input Data'!E15</f>
        <v>0</v>
      </c>
      <c r="D259" s="680" t="s">
        <v>367</v>
      </c>
      <c r="E259" s="28"/>
      <c r="F259" s="203"/>
      <c r="G259" s="692"/>
      <c r="H259" s="692"/>
      <c r="I259" s="692"/>
      <c r="J259" s="692"/>
      <c r="K259" s="692"/>
      <c r="L259" s="692"/>
      <c r="M259" s="692"/>
      <c r="N259" s="692"/>
      <c r="O259" s="692"/>
      <c r="P259" s="692"/>
      <c r="Q259" s="692"/>
      <c r="R259" s="692"/>
      <c r="S259" s="692"/>
      <c r="T259" s="692"/>
      <c r="U259" s="692"/>
      <c r="V259" s="692"/>
      <c r="W259" s="692"/>
      <c r="X259" s="692"/>
      <c r="Y259" s="692"/>
      <c r="Z259" s="692"/>
      <c r="AA259" s="692"/>
      <c r="AB259" s="692"/>
      <c r="AC259" s="692"/>
      <c r="AD259" s="692"/>
      <c r="AE259" s="692"/>
      <c r="AF259" s="692"/>
      <c r="AG259" s="692"/>
      <c r="AH259" s="692"/>
      <c r="AI259" s="692"/>
      <c r="AJ259" s="692"/>
      <c r="AK259" s="692"/>
      <c r="AL259" s="692"/>
      <c r="AM259" s="692"/>
      <c r="AN259" s="692"/>
      <c r="AO259" s="692"/>
      <c r="AP259" s="692"/>
      <c r="AQ259" s="692"/>
      <c r="AR259" s="692"/>
      <c r="AS259" s="692"/>
      <c r="AT259" s="692"/>
      <c r="AU259" s="692"/>
      <c r="AV259" s="692"/>
      <c r="AW259" s="692"/>
      <c r="AX259" s="692"/>
      <c r="AY259" s="692"/>
      <c r="AZ259" s="692"/>
      <c r="BA259" s="692"/>
      <c r="BB259" s="692"/>
      <c r="BC259" s="692"/>
      <c r="BD259" s="692"/>
      <c r="BE259" s="692"/>
      <c r="BF259" s="692"/>
      <c r="BG259" s="692"/>
      <c r="BH259" s="692"/>
      <c r="BI259" s="692"/>
      <c r="BJ259" s="692"/>
      <c r="BK259" s="692"/>
      <c r="BL259" s="692"/>
      <c r="BM259" s="692"/>
      <c r="BN259" s="692"/>
      <c r="BO259" s="692"/>
      <c r="BP259" s="692"/>
      <c r="BQ259" s="692"/>
      <c r="BR259" s="692"/>
      <c r="BS259" s="692"/>
      <c r="BT259" s="692"/>
      <c r="BU259" s="692"/>
      <c r="BV259" s="692"/>
      <c r="BW259" s="692"/>
      <c r="BX259" s="692"/>
      <c r="BY259" s="692"/>
      <c r="BZ259" s="692"/>
      <c r="CA259" s="692"/>
      <c r="CB259" s="692"/>
      <c r="CC259" s="692"/>
      <c r="CD259" s="692"/>
      <c r="CE259" s="692"/>
      <c r="CF259" s="692"/>
      <c r="CG259" s="692"/>
      <c r="CH259" s="692"/>
      <c r="CI259" s="692"/>
      <c r="CJ259" s="692"/>
      <c r="CK259" s="692"/>
      <c r="CL259" s="692"/>
      <c r="CM259" s="692"/>
      <c r="CN259" s="692"/>
      <c r="CO259" s="692"/>
      <c r="CP259" s="692"/>
      <c r="CQ259" s="692"/>
      <c r="CR259" s="692"/>
      <c r="CS259" s="692"/>
      <c r="CT259" s="692"/>
      <c r="CU259" s="692"/>
      <c r="CV259" s="692"/>
      <c r="CW259" s="692"/>
      <c r="CX259" s="692"/>
      <c r="CY259" s="692"/>
      <c r="CZ259" s="692"/>
      <c r="DA259" s="692"/>
      <c r="DB259" s="692"/>
      <c r="DC259" s="692"/>
      <c r="DD259" s="692"/>
      <c r="DE259" s="692"/>
      <c r="DF259" s="692"/>
      <c r="DG259" s="692"/>
      <c r="DH259" s="692"/>
      <c r="DI259" s="692"/>
      <c r="DJ259" s="692"/>
      <c r="DK259" s="692"/>
      <c r="DL259" s="692"/>
      <c r="DM259" s="692"/>
      <c r="DN259" s="692"/>
      <c r="DO259" s="692"/>
      <c r="DP259" s="692"/>
      <c r="DQ259" s="692"/>
      <c r="DR259" s="692"/>
      <c r="DS259" s="692"/>
      <c r="DT259" s="692"/>
      <c r="DU259" s="692"/>
      <c r="DV259" s="692"/>
      <c r="DW259" s="692"/>
      <c r="DX259" s="692"/>
      <c r="DY259" s="692"/>
      <c r="DZ259" s="692"/>
      <c r="EA259" s="692"/>
      <c r="EB259" s="692"/>
      <c r="EC259" s="692"/>
      <c r="ED259" s="692"/>
      <c r="EE259" s="692"/>
      <c r="EF259" s="692"/>
      <c r="EG259" s="692"/>
      <c r="EH259" s="692"/>
      <c r="EI259" s="692"/>
      <c r="EJ259" s="692"/>
      <c r="EK259" s="692"/>
      <c r="EL259" s="692"/>
      <c r="EM259" s="692"/>
      <c r="EN259" s="692"/>
      <c r="EO259" s="692"/>
      <c r="EP259" s="692"/>
      <c r="EQ259" s="692"/>
      <c r="ER259" s="692"/>
      <c r="ES259" s="692"/>
      <c r="ET259" s="692"/>
      <c r="EU259" s="692"/>
      <c r="EV259" s="692"/>
      <c r="EW259" s="692"/>
      <c r="EX259" s="692"/>
      <c r="EY259" s="692"/>
      <c r="EZ259" s="692"/>
      <c r="FA259" s="692"/>
      <c r="FB259" s="692"/>
      <c r="FC259" s="692"/>
      <c r="FD259" s="692"/>
      <c r="FE259" s="692"/>
      <c r="FF259" s="692"/>
      <c r="FG259" s="692"/>
      <c r="FH259" s="692"/>
      <c r="FI259" s="692"/>
      <c r="FJ259" s="692"/>
      <c r="FK259" s="692"/>
      <c r="FL259" s="692"/>
      <c r="FM259" s="692"/>
      <c r="FN259" s="692"/>
      <c r="FO259" s="692"/>
      <c r="FP259" s="692"/>
      <c r="FQ259" s="692"/>
      <c r="FR259" s="692"/>
      <c r="FS259" s="692"/>
      <c r="FT259" s="692"/>
      <c r="FU259" s="692"/>
      <c r="FV259" s="692"/>
      <c r="FW259" s="692"/>
      <c r="FX259" s="692"/>
      <c r="FY259" s="692"/>
      <c r="FZ259" s="692"/>
      <c r="GA259" s="692"/>
      <c r="GB259" s="692"/>
      <c r="GC259" s="692"/>
      <c r="GD259" s="692"/>
      <c r="GE259" s="692"/>
      <c r="GF259" s="692"/>
      <c r="GG259" s="692"/>
      <c r="GH259" s="692"/>
      <c r="GI259" s="692"/>
      <c r="GJ259" s="692"/>
      <c r="GK259" s="692"/>
      <c r="GL259" s="692"/>
      <c r="GM259" s="692"/>
      <c r="GN259" s="692"/>
      <c r="GO259" s="692"/>
      <c r="GP259" s="692"/>
      <c r="GQ259" s="692"/>
      <c r="GR259" s="692"/>
      <c r="GS259" s="692"/>
      <c r="GT259" s="692"/>
      <c r="GU259" s="692"/>
      <c r="GV259" s="692"/>
      <c r="GW259" s="692"/>
      <c r="GX259" s="692"/>
      <c r="GY259" s="692"/>
      <c r="GZ259" s="692"/>
      <c r="HA259" s="692"/>
      <c r="HB259" s="692"/>
      <c r="HC259" s="692"/>
      <c r="HD259" s="692"/>
      <c r="HE259" s="692"/>
      <c r="HF259" s="692"/>
      <c r="HG259" s="692"/>
      <c r="HH259" s="692"/>
      <c r="HI259" s="692"/>
      <c r="HJ259" s="692"/>
      <c r="HK259" s="692"/>
      <c r="HL259" s="692"/>
      <c r="HM259" s="692"/>
      <c r="HN259" s="692"/>
      <c r="HO259" s="692"/>
      <c r="HP259" s="692"/>
      <c r="HQ259" s="692"/>
      <c r="HR259" s="692"/>
      <c r="HS259" s="692"/>
      <c r="HT259" s="692"/>
      <c r="HU259" s="692"/>
      <c r="HV259" s="692"/>
      <c r="HW259" s="692"/>
      <c r="HX259" s="692"/>
      <c r="HY259" s="692"/>
      <c r="HZ259" s="692"/>
      <c r="IA259" s="692"/>
      <c r="IB259" s="692"/>
      <c r="IC259" s="692"/>
      <c r="ID259" s="692"/>
      <c r="IE259" s="692"/>
      <c r="IF259" s="692"/>
      <c r="IG259" s="692"/>
      <c r="IH259" s="692"/>
      <c r="II259" s="692"/>
      <c r="IJ259" s="692"/>
      <c r="IK259" s="692"/>
      <c r="IL259" s="692"/>
      <c r="IM259" s="692"/>
      <c r="IN259" s="692"/>
      <c r="IO259" s="692"/>
      <c r="IP259" s="692"/>
      <c r="IQ259" s="692"/>
      <c r="IR259" s="692"/>
      <c r="IS259" s="692"/>
      <c r="IT259" s="692"/>
      <c r="IU259" s="692"/>
      <c r="IV259" s="692"/>
      <c r="IW259" s="692"/>
      <c r="IX259" s="692"/>
      <c r="IY259" s="692"/>
      <c r="IZ259" s="692"/>
      <c r="JA259" s="692"/>
      <c r="JB259" s="692"/>
      <c r="JC259" s="692"/>
      <c r="JD259" s="692"/>
      <c r="JE259" s="692"/>
      <c r="JF259" s="692"/>
      <c r="JG259" s="692"/>
      <c r="JH259" s="692"/>
      <c r="JI259" s="692"/>
      <c r="JJ259" s="692"/>
      <c r="JK259" s="692"/>
      <c r="JL259" s="692"/>
      <c r="JM259" s="692"/>
      <c r="JN259" s="692"/>
      <c r="JO259" s="692"/>
      <c r="JP259" s="692"/>
      <c r="JQ259" s="692"/>
      <c r="JR259" s="692"/>
      <c r="JS259" s="692"/>
      <c r="JT259" s="692"/>
      <c r="JU259" s="692"/>
      <c r="JV259" s="692"/>
      <c r="JW259" s="692"/>
      <c r="JX259" s="692"/>
      <c r="JY259" s="692"/>
      <c r="JZ259" s="692"/>
      <c r="KA259" s="692"/>
      <c r="KB259" s="692"/>
      <c r="KC259" s="692"/>
      <c r="KD259" s="692"/>
      <c r="KE259" s="692"/>
      <c r="KF259" s="692"/>
      <c r="KG259" s="692"/>
      <c r="KH259" s="692"/>
      <c r="KI259" s="692"/>
      <c r="KJ259" s="692"/>
      <c r="KK259" s="692"/>
      <c r="KL259" s="692"/>
      <c r="KM259" s="692"/>
      <c r="KN259" s="692"/>
      <c r="KO259" s="692"/>
      <c r="KP259" s="692"/>
      <c r="KQ259" s="692"/>
      <c r="KR259" s="692"/>
      <c r="KS259" s="692"/>
      <c r="KT259" s="692"/>
      <c r="KU259" s="692"/>
      <c r="KV259" s="692"/>
      <c r="KW259" s="692"/>
      <c r="KX259" s="692"/>
      <c r="KY259" s="692"/>
      <c r="KZ259" s="692"/>
      <c r="LA259" s="692"/>
      <c r="LB259" s="692"/>
      <c r="LC259" s="692"/>
      <c r="LD259" s="692"/>
      <c r="LE259" s="692"/>
      <c r="LF259" s="692"/>
      <c r="LG259" s="692"/>
      <c r="LH259" s="692"/>
      <c r="LI259" s="692"/>
      <c r="LJ259" s="692"/>
      <c r="LK259" s="692"/>
      <c r="LL259" s="692"/>
      <c r="LM259" s="692"/>
      <c r="LN259" s="692"/>
      <c r="LO259" s="692"/>
      <c r="LP259" s="692"/>
      <c r="LQ259" s="692"/>
      <c r="LR259" s="692"/>
      <c r="LS259" s="692"/>
      <c r="LT259" s="692"/>
      <c r="LU259" s="692"/>
      <c r="LV259" s="692"/>
      <c r="LW259" s="692"/>
      <c r="LX259" s="692"/>
      <c r="LY259" s="692"/>
      <c r="LZ259" s="692"/>
      <c r="MA259" s="692"/>
      <c r="MB259" s="692"/>
      <c r="MC259" s="692"/>
      <c r="MD259" s="692"/>
      <c r="ME259" s="692"/>
      <c r="MF259" s="692"/>
      <c r="MG259" s="692"/>
      <c r="MH259" s="692"/>
      <c r="MI259" s="692"/>
      <c r="MJ259" s="692"/>
      <c r="MK259" s="692"/>
      <c r="ML259" s="692"/>
      <c r="MM259" s="692"/>
      <c r="MN259" s="692"/>
      <c r="MO259" s="692"/>
      <c r="MP259" s="692"/>
      <c r="MQ259" s="692"/>
      <c r="MR259" s="692"/>
      <c r="MS259" s="692"/>
      <c r="MT259" s="692"/>
      <c r="MU259" s="692"/>
      <c r="MV259" s="692"/>
      <c r="MW259" s="692"/>
      <c r="MX259" s="692"/>
      <c r="MY259" s="692"/>
      <c r="MZ259" s="692"/>
      <c r="NA259" s="692"/>
      <c r="NB259" s="692"/>
      <c r="NC259" s="692"/>
      <c r="ND259" s="692"/>
      <c r="NE259" s="692"/>
      <c r="NF259" s="692"/>
      <c r="NG259" s="692"/>
      <c r="NH259" s="692"/>
      <c r="NI259" s="692"/>
      <c r="NJ259" s="692"/>
      <c r="NK259" s="692"/>
      <c r="NL259" s="692"/>
      <c r="NM259" s="692"/>
      <c r="NN259" s="692"/>
      <c r="NO259" s="692"/>
      <c r="NP259" s="692"/>
      <c r="NQ259" s="692"/>
      <c r="NR259" s="692"/>
    </row>
    <row r="260" spans="1:382" ht="15.75" thickBot="1" x14ac:dyDescent="0.3">
      <c r="A260" s="680"/>
      <c r="B260" s="680" t="s">
        <v>1717</v>
      </c>
      <c r="C260" s="161">
        <f>'Conversion factors'!B12</f>
        <v>3</v>
      </c>
      <c r="D260" s="680" t="s">
        <v>1711</v>
      </c>
      <c r="E260" s="25"/>
      <c r="F260" s="203" t="s">
        <v>1718</v>
      </c>
      <c r="G260" s="692"/>
      <c r="H260" s="692"/>
      <c r="I260" s="692"/>
      <c r="J260" s="692"/>
      <c r="K260" s="692"/>
      <c r="L260" s="692"/>
      <c r="M260" s="692"/>
      <c r="N260" s="692"/>
      <c r="O260" s="692"/>
      <c r="P260" s="692"/>
      <c r="Q260" s="692"/>
      <c r="R260" s="692"/>
      <c r="S260" s="692"/>
      <c r="T260" s="692"/>
      <c r="U260" s="692"/>
      <c r="V260" s="692"/>
      <c r="W260" s="692"/>
      <c r="X260" s="692"/>
      <c r="Y260" s="692"/>
      <c r="Z260" s="692"/>
      <c r="AA260" s="692"/>
      <c r="AB260" s="692"/>
      <c r="AC260" s="692"/>
      <c r="AD260" s="692"/>
      <c r="AE260" s="692"/>
      <c r="AF260" s="692"/>
      <c r="AG260" s="692"/>
      <c r="AH260" s="692"/>
      <c r="AI260" s="692"/>
      <c r="AJ260" s="692"/>
      <c r="AK260" s="692"/>
      <c r="AL260" s="692"/>
      <c r="AM260" s="692"/>
      <c r="AN260" s="692"/>
      <c r="AO260" s="692"/>
      <c r="AP260" s="692"/>
      <c r="AQ260" s="692"/>
      <c r="AR260" s="692"/>
      <c r="AS260" s="692"/>
      <c r="AT260" s="692"/>
      <c r="AU260" s="692"/>
      <c r="AV260" s="692"/>
      <c r="AW260" s="692"/>
      <c r="AX260" s="692"/>
      <c r="AY260" s="692"/>
      <c r="AZ260" s="692"/>
      <c r="BA260" s="692"/>
      <c r="BB260" s="692"/>
      <c r="BC260" s="692"/>
      <c r="BD260" s="692"/>
      <c r="BE260" s="692"/>
      <c r="BF260" s="692"/>
      <c r="BG260" s="692"/>
      <c r="BH260" s="692"/>
      <c r="BI260" s="692"/>
      <c r="BJ260" s="692"/>
      <c r="BK260" s="692"/>
      <c r="BL260" s="692"/>
      <c r="BM260" s="692"/>
      <c r="BN260" s="692"/>
      <c r="BO260" s="692"/>
      <c r="BP260" s="692"/>
      <c r="BQ260" s="692"/>
      <c r="BR260" s="692"/>
      <c r="BS260" s="692"/>
      <c r="BT260" s="692"/>
      <c r="BU260" s="692"/>
      <c r="BV260" s="692"/>
      <c r="BW260" s="692"/>
      <c r="BX260" s="692"/>
      <c r="BY260" s="692"/>
      <c r="BZ260" s="692"/>
      <c r="CA260" s="692"/>
      <c r="CB260" s="692"/>
      <c r="CC260" s="692"/>
      <c r="CD260" s="692"/>
      <c r="CE260" s="692"/>
      <c r="CF260" s="692"/>
      <c r="CG260" s="692"/>
      <c r="CH260" s="692"/>
      <c r="CI260" s="692"/>
      <c r="CJ260" s="692"/>
      <c r="CK260" s="692"/>
      <c r="CL260" s="692"/>
      <c r="CM260" s="692"/>
      <c r="CN260" s="692"/>
      <c r="CO260" s="692"/>
      <c r="CP260" s="692"/>
      <c r="CQ260" s="692"/>
      <c r="CR260" s="692"/>
      <c r="CS260" s="692"/>
      <c r="CT260" s="692"/>
      <c r="CU260" s="692"/>
      <c r="CV260" s="692"/>
      <c r="CW260" s="692"/>
      <c r="CX260" s="692"/>
      <c r="CY260" s="692"/>
      <c r="CZ260" s="692"/>
      <c r="DA260" s="692"/>
      <c r="DB260" s="692"/>
      <c r="DC260" s="692"/>
      <c r="DD260" s="692"/>
      <c r="DE260" s="692"/>
      <c r="DF260" s="692"/>
      <c r="DG260" s="692"/>
      <c r="DH260" s="692"/>
      <c r="DI260" s="692"/>
      <c r="DJ260" s="692"/>
      <c r="DK260" s="692"/>
      <c r="DL260" s="692"/>
      <c r="DM260" s="692"/>
      <c r="DN260" s="692"/>
      <c r="DO260" s="692"/>
      <c r="DP260" s="692"/>
      <c r="DQ260" s="692"/>
      <c r="DR260" s="692"/>
      <c r="DS260" s="692"/>
      <c r="DT260" s="692"/>
      <c r="DU260" s="692"/>
      <c r="DV260" s="692"/>
      <c r="DW260" s="692"/>
      <c r="DX260" s="692"/>
      <c r="DY260" s="692"/>
      <c r="DZ260" s="692"/>
      <c r="EA260" s="692"/>
      <c r="EB260" s="692"/>
      <c r="EC260" s="692"/>
      <c r="ED260" s="692"/>
      <c r="EE260" s="692"/>
      <c r="EF260" s="692"/>
      <c r="EG260" s="692"/>
      <c r="EH260" s="692"/>
      <c r="EI260" s="692"/>
      <c r="EJ260" s="692"/>
      <c r="EK260" s="692"/>
      <c r="EL260" s="692"/>
      <c r="EM260" s="692"/>
      <c r="EN260" s="692"/>
      <c r="EO260" s="692"/>
      <c r="EP260" s="692"/>
      <c r="EQ260" s="692"/>
      <c r="ER260" s="692"/>
      <c r="ES260" s="692"/>
      <c r="ET260" s="692"/>
      <c r="EU260" s="692"/>
      <c r="EV260" s="692"/>
      <c r="EW260" s="692"/>
      <c r="EX260" s="692"/>
      <c r="EY260" s="692"/>
      <c r="EZ260" s="692"/>
      <c r="FA260" s="692"/>
      <c r="FB260" s="692"/>
      <c r="FC260" s="692"/>
      <c r="FD260" s="692"/>
      <c r="FE260" s="692"/>
      <c r="FF260" s="692"/>
      <c r="FG260" s="692"/>
      <c r="FH260" s="692"/>
      <c r="FI260" s="692"/>
      <c r="FJ260" s="692"/>
      <c r="FK260" s="692"/>
      <c r="FL260" s="692"/>
      <c r="FM260" s="692"/>
      <c r="FN260" s="692"/>
      <c r="FO260" s="692"/>
      <c r="FP260" s="692"/>
      <c r="FQ260" s="692"/>
      <c r="FR260" s="692"/>
      <c r="FS260" s="692"/>
      <c r="FT260" s="692"/>
      <c r="FU260" s="692"/>
      <c r="FV260" s="692"/>
      <c r="FW260" s="692"/>
      <c r="FX260" s="692"/>
      <c r="FY260" s="692"/>
      <c r="FZ260" s="692"/>
      <c r="GA260" s="692"/>
      <c r="GB260" s="692"/>
      <c r="GC260" s="692"/>
      <c r="GD260" s="692"/>
      <c r="GE260" s="692"/>
      <c r="GF260" s="692"/>
      <c r="GG260" s="692"/>
      <c r="GH260" s="692"/>
      <c r="GI260" s="692"/>
      <c r="GJ260" s="692"/>
      <c r="GK260" s="692"/>
      <c r="GL260" s="692"/>
      <c r="GM260" s="692"/>
      <c r="GN260" s="692"/>
      <c r="GO260" s="692"/>
      <c r="GP260" s="692"/>
      <c r="GQ260" s="692"/>
      <c r="GR260" s="692"/>
      <c r="GS260" s="692"/>
      <c r="GT260" s="692"/>
      <c r="GU260" s="692"/>
      <c r="GV260" s="692"/>
      <c r="GW260" s="692"/>
      <c r="GX260" s="692"/>
      <c r="GY260" s="692"/>
      <c r="GZ260" s="692"/>
      <c r="HA260" s="692"/>
      <c r="HB260" s="692"/>
      <c r="HC260" s="692"/>
      <c r="HD260" s="692"/>
      <c r="HE260" s="692"/>
      <c r="HF260" s="692"/>
      <c r="HG260" s="692"/>
      <c r="HH260" s="692"/>
      <c r="HI260" s="692"/>
      <c r="HJ260" s="692"/>
      <c r="HK260" s="692"/>
      <c r="HL260" s="692"/>
      <c r="HM260" s="692"/>
      <c r="HN260" s="692"/>
      <c r="HO260" s="692"/>
      <c r="HP260" s="692"/>
      <c r="HQ260" s="692"/>
      <c r="HR260" s="692"/>
      <c r="HS260" s="692"/>
      <c r="HT260" s="692"/>
      <c r="HU260" s="692"/>
      <c r="HV260" s="692"/>
      <c r="HW260" s="692"/>
      <c r="HX260" s="692"/>
      <c r="HY260" s="692"/>
      <c r="HZ260" s="692"/>
      <c r="IA260" s="692"/>
      <c r="IB260" s="692"/>
      <c r="IC260" s="692"/>
      <c r="ID260" s="692"/>
      <c r="IE260" s="692"/>
      <c r="IF260" s="692"/>
      <c r="IG260" s="692"/>
      <c r="IH260" s="692"/>
      <c r="II260" s="692"/>
      <c r="IJ260" s="692"/>
      <c r="IK260" s="692"/>
      <c r="IL260" s="692"/>
      <c r="IM260" s="692"/>
      <c r="IN260" s="692"/>
      <c r="IO260" s="692"/>
      <c r="IP260" s="692"/>
      <c r="IQ260" s="692"/>
      <c r="IR260" s="692"/>
      <c r="IS260" s="692"/>
      <c r="IT260" s="692"/>
      <c r="IU260" s="692"/>
      <c r="IV260" s="692"/>
      <c r="IW260" s="692"/>
      <c r="IX260" s="692"/>
      <c r="IY260" s="692"/>
      <c r="IZ260" s="692"/>
      <c r="JA260" s="692"/>
      <c r="JB260" s="692"/>
      <c r="JC260" s="692"/>
      <c r="JD260" s="692"/>
      <c r="JE260" s="692"/>
      <c r="JF260" s="692"/>
      <c r="JG260" s="692"/>
      <c r="JH260" s="692"/>
      <c r="JI260" s="692"/>
      <c r="JJ260" s="692"/>
      <c r="JK260" s="692"/>
      <c r="JL260" s="692"/>
      <c r="JM260" s="692"/>
      <c r="JN260" s="692"/>
      <c r="JO260" s="692"/>
      <c r="JP260" s="692"/>
      <c r="JQ260" s="692"/>
      <c r="JR260" s="692"/>
      <c r="JS260" s="692"/>
      <c r="JT260" s="692"/>
      <c r="JU260" s="692"/>
      <c r="JV260" s="692"/>
      <c r="JW260" s="692"/>
      <c r="JX260" s="692"/>
      <c r="JY260" s="692"/>
      <c r="JZ260" s="692"/>
      <c r="KA260" s="692"/>
      <c r="KB260" s="692"/>
      <c r="KC260" s="692"/>
      <c r="KD260" s="692"/>
      <c r="KE260" s="692"/>
      <c r="KF260" s="692"/>
      <c r="KG260" s="692"/>
      <c r="KH260" s="692"/>
      <c r="KI260" s="692"/>
      <c r="KJ260" s="692"/>
      <c r="KK260" s="692"/>
      <c r="KL260" s="692"/>
      <c r="KM260" s="692"/>
      <c r="KN260" s="692"/>
      <c r="KO260" s="692"/>
      <c r="KP260" s="692"/>
      <c r="KQ260" s="692"/>
      <c r="KR260" s="692"/>
      <c r="KS260" s="692"/>
      <c r="KT260" s="692"/>
      <c r="KU260" s="692"/>
      <c r="KV260" s="692"/>
      <c r="KW260" s="692"/>
      <c r="KX260" s="692"/>
      <c r="KY260" s="692"/>
      <c r="KZ260" s="692"/>
      <c r="LA260" s="692"/>
      <c r="LB260" s="692"/>
      <c r="LC260" s="692"/>
      <c r="LD260" s="692"/>
      <c r="LE260" s="692"/>
      <c r="LF260" s="692"/>
      <c r="LG260" s="692"/>
      <c r="LH260" s="692"/>
      <c r="LI260" s="692"/>
      <c r="LJ260" s="692"/>
      <c r="LK260" s="692"/>
      <c r="LL260" s="692"/>
      <c r="LM260" s="692"/>
      <c r="LN260" s="692"/>
      <c r="LO260" s="692"/>
      <c r="LP260" s="692"/>
      <c r="LQ260" s="692"/>
      <c r="LR260" s="692"/>
      <c r="LS260" s="692"/>
      <c r="LT260" s="692"/>
      <c r="LU260" s="692"/>
      <c r="LV260" s="692"/>
      <c r="LW260" s="692"/>
      <c r="LX260" s="692"/>
      <c r="LY260" s="692"/>
      <c r="LZ260" s="692"/>
      <c r="MA260" s="692"/>
      <c r="MB260" s="692"/>
      <c r="MC260" s="692"/>
      <c r="MD260" s="692"/>
      <c r="ME260" s="692"/>
      <c r="MF260" s="692"/>
      <c r="MG260" s="692"/>
      <c r="MH260" s="692"/>
      <c r="MI260" s="692"/>
      <c r="MJ260" s="692"/>
      <c r="MK260" s="692"/>
      <c r="ML260" s="692"/>
      <c r="MM260" s="692"/>
      <c r="MN260" s="692"/>
      <c r="MO260" s="692"/>
      <c r="MP260" s="692"/>
      <c r="MQ260" s="692"/>
      <c r="MR260" s="692"/>
      <c r="MS260" s="692"/>
      <c r="MT260" s="692"/>
      <c r="MU260" s="692"/>
      <c r="MV260" s="692"/>
      <c r="MW260" s="692"/>
      <c r="MX260" s="692"/>
      <c r="MY260" s="692"/>
      <c r="MZ260" s="692"/>
      <c r="NA260" s="692"/>
      <c r="NB260" s="692"/>
      <c r="NC260" s="692"/>
      <c r="ND260" s="692"/>
      <c r="NE260" s="692"/>
      <c r="NF260" s="692"/>
      <c r="NG260" s="692"/>
      <c r="NH260" s="692"/>
      <c r="NI260" s="692"/>
      <c r="NJ260" s="692"/>
      <c r="NK260" s="692"/>
      <c r="NL260" s="692"/>
      <c r="NM260" s="692"/>
      <c r="NN260" s="692"/>
      <c r="NO260" s="692"/>
      <c r="NP260" s="692"/>
      <c r="NQ260" s="692"/>
      <c r="NR260" s="692"/>
    </row>
    <row r="261" spans="1:382" ht="15.75" thickBot="1" x14ac:dyDescent="0.3">
      <c r="A261" s="680"/>
      <c r="B261" s="189" t="s">
        <v>1717</v>
      </c>
      <c r="C261" s="161">
        <f>C258*C259/1000*C260</f>
        <v>0</v>
      </c>
      <c r="D261" s="680" t="s">
        <v>1575</v>
      </c>
      <c r="E261" s="25"/>
      <c r="F261" s="203"/>
      <c r="G261" s="692"/>
      <c r="H261" s="692"/>
      <c r="I261" s="692"/>
      <c r="J261" s="692"/>
      <c r="K261" s="692"/>
      <c r="L261" s="692"/>
      <c r="M261" s="692"/>
      <c r="N261" s="692"/>
      <c r="O261" s="692"/>
      <c r="P261" s="692"/>
      <c r="Q261" s="692"/>
      <c r="R261" s="692"/>
      <c r="S261" s="692"/>
      <c r="T261" s="692"/>
      <c r="U261" s="692"/>
      <c r="V261" s="692"/>
      <c r="W261" s="692"/>
      <c r="X261" s="692"/>
      <c r="Y261" s="692"/>
      <c r="Z261" s="692"/>
      <c r="AA261" s="692"/>
      <c r="AB261" s="692"/>
      <c r="AC261" s="692"/>
      <c r="AD261" s="692"/>
      <c r="AE261" s="692"/>
      <c r="AF261" s="692"/>
      <c r="AG261" s="692"/>
      <c r="AH261" s="692"/>
      <c r="AI261" s="692"/>
      <c r="AJ261" s="692"/>
      <c r="AK261" s="692"/>
      <c r="AL261" s="692"/>
      <c r="AM261" s="692"/>
      <c r="AN261" s="692"/>
      <c r="AO261" s="692"/>
      <c r="AP261" s="692"/>
      <c r="AQ261" s="692"/>
      <c r="AR261" s="692"/>
      <c r="AS261" s="692"/>
      <c r="AT261" s="692"/>
      <c r="AU261" s="692"/>
      <c r="AV261" s="692"/>
      <c r="AW261" s="692"/>
      <c r="AX261" s="692"/>
      <c r="AY261" s="692"/>
      <c r="AZ261" s="692"/>
      <c r="BA261" s="692"/>
      <c r="BB261" s="692"/>
      <c r="BC261" s="692"/>
      <c r="BD261" s="692"/>
      <c r="BE261" s="692"/>
      <c r="BF261" s="692"/>
      <c r="BG261" s="692"/>
      <c r="BH261" s="692"/>
      <c r="BI261" s="692"/>
      <c r="BJ261" s="692"/>
      <c r="BK261" s="692"/>
      <c r="BL261" s="692"/>
      <c r="BM261" s="692"/>
      <c r="BN261" s="692"/>
      <c r="BO261" s="692"/>
      <c r="BP261" s="692"/>
      <c r="BQ261" s="692"/>
      <c r="BR261" s="692"/>
      <c r="BS261" s="692"/>
      <c r="BT261" s="692"/>
      <c r="BU261" s="692"/>
      <c r="BV261" s="692"/>
      <c r="BW261" s="692"/>
      <c r="BX261" s="692"/>
      <c r="BY261" s="692"/>
      <c r="BZ261" s="692"/>
      <c r="CA261" s="692"/>
      <c r="CB261" s="692"/>
      <c r="CC261" s="692"/>
      <c r="CD261" s="692"/>
      <c r="CE261" s="692"/>
      <c r="CF261" s="692"/>
      <c r="CG261" s="692"/>
      <c r="CH261" s="692"/>
      <c r="CI261" s="692"/>
      <c r="CJ261" s="692"/>
      <c r="CK261" s="692"/>
      <c r="CL261" s="692"/>
      <c r="CM261" s="692"/>
      <c r="CN261" s="692"/>
      <c r="CO261" s="692"/>
      <c r="CP261" s="692"/>
      <c r="CQ261" s="692"/>
      <c r="CR261" s="692"/>
      <c r="CS261" s="692"/>
      <c r="CT261" s="692"/>
      <c r="CU261" s="692"/>
      <c r="CV261" s="692"/>
      <c r="CW261" s="692"/>
      <c r="CX261" s="692"/>
      <c r="CY261" s="692"/>
      <c r="CZ261" s="692"/>
      <c r="DA261" s="692"/>
      <c r="DB261" s="692"/>
      <c r="DC261" s="692"/>
      <c r="DD261" s="692"/>
      <c r="DE261" s="692"/>
      <c r="DF261" s="692"/>
      <c r="DG261" s="692"/>
      <c r="DH261" s="692"/>
      <c r="DI261" s="692"/>
      <c r="DJ261" s="692"/>
      <c r="DK261" s="692"/>
      <c r="DL261" s="692"/>
      <c r="DM261" s="692"/>
      <c r="DN261" s="692"/>
      <c r="DO261" s="692"/>
      <c r="DP261" s="692"/>
      <c r="DQ261" s="692"/>
      <c r="DR261" s="692"/>
      <c r="DS261" s="692"/>
      <c r="DT261" s="692"/>
      <c r="DU261" s="692"/>
      <c r="DV261" s="692"/>
      <c r="DW261" s="692"/>
      <c r="DX261" s="692"/>
      <c r="DY261" s="692"/>
      <c r="DZ261" s="692"/>
      <c r="EA261" s="692"/>
      <c r="EB261" s="692"/>
      <c r="EC261" s="692"/>
      <c r="ED261" s="692"/>
      <c r="EE261" s="692"/>
      <c r="EF261" s="692"/>
      <c r="EG261" s="692"/>
      <c r="EH261" s="692"/>
      <c r="EI261" s="692"/>
      <c r="EJ261" s="692"/>
      <c r="EK261" s="692"/>
      <c r="EL261" s="692"/>
      <c r="EM261" s="692"/>
      <c r="EN261" s="692"/>
      <c r="EO261" s="692"/>
      <c r="EP261" s="692"/>
      <c r="EQ261" s="692"/>
      <c r="ER261" s="692"/>
      <c r="ES261" s="692"/>
      <c r="ET261" s="692"/>
      <c r="EU261" s="692"/>
      <c r="EV261" s="692"/>
      <c r="EW261" s="692"/>
      <c r="EX261" s="692"/>
      <c r="EY261" s="692"/>
      <c r="EZ261" s="692"/>
      <c r="FA261" s="692"/>
      <c r="FB261" s="692"/>
      <c r="FC261" s="692"/>
      <c r="FD261" s="692"/>
      <c r="FE261" s="692"/>
      <c r="FF261" s="692"/>
      <c r="FG261" s="692"/>
      <c r="FH261" s="692"/>
      <c r="FI261" s="692"/>
      <c r="FJ261" s="692"/>
      <c r="FK261" s="692"/>
      <c r="FL261" s="692"/>
      <c r="FM261" s="692"/>
      <c r="FN261" s="692"/>
      <c r="FO261" s="692"/>
      <c r="FP261" s="692"/>
      <c r="FQ261" s="692"/>
      <c r="FR261" s="692"/>
      <c r="FS261" s="692"/>
      <c r="FT261" s="692"/>
      <c r="FU261" s="692"/>
      <c r="FV261" s="692"/>
      <c r="FW261" s="692"/>
      <c r="FX261" s="692"/>
      <c r="FY261" s="692"/>
      <c r="FZ261" s="692"/>
      <c r="GA261" s="692"/>
      <c r="GB261" s="692"/>
      <c r="GC261" s="692"/>
      <c r="GD261" s="692"/>
      <c r="GE261" s="692"/>
      <c r="GF261" s="692"/>
      <c r="GG261" s="692"/>
      <c r="GH261" s="692"/>
      <c r="GI261" s="692"/>
      <c r="GJ261" s="692"/>
      <c r="GK261" s="692"/>
      <c r="GL261" s="692"/>
      <c r="GM261" s="692"/>
      <c r="GN261" s="692"/>
      <c r="GO261" s="692"/>
      <c r="GP261" s="692"/>
      <c r="GQ261" s="692"/>
      <c r="GR261" s="692"/>
      <c r="GS261" s="692"/>
      <c r="GT261" s="692"/>
      <c r="GU261" s="692"/>
      <c r="GV261" s="692"/>
      <c r="GW261" s="692"/>
      <c r="GX261" s="692"/>
      <c r="GY261" s="692"/>
      <c r="GZ261" s="692"/>
      <c r="HA261" s="692"/>
      <c r="HB261" s="692"/>
      <c r="HC261" s="692"/>
      <c r="HD261" s="692"/>
      <c r="HE261" s="692"/>
      <c r="HF261" s="692"/>
      <c r="HG261" s="692"/>
      <c r="HH261" s="692"/>
      <c r="HI261" s="692"/>
      <c r="HJ261" s="692"/>
      <c r="HK261" s="692"/>
      <c r="HL261" s="692"/>
      <c r="HM261" s="692"/>
      <c r="HN261" s="692"/>
      <c r="HO261" s="692"/>
      <c r="HP261" s="692"/>
      <c r="HQ261" s="692"/>
      <c r="HR261" s="692"/>
      <c r="HS261" s="692"/>
      <c r="HT261" s="692"/>
      <c r="HU261" s="692"/>
      <c r="HV261" s="692"/>
      <c r="HW261" s="692"/>
      <c r="HX261" s="692"/>
      <c r="HY261" s="692"/>
      <c r="HZ261" s="692"/>
      <c r="IA261" s="692"/>
      <c r="IB261" s="692"/>
      <c r="IC261" s="692"/>
      <c r="ID261" s="692"/>
      <c r="IE261" s="692"/>
      <c r="IF261" s="692"/>
      <c r="IG261" s="692"/>
      <c r="IH261" s="692"/>
      <c r="II261" s="692"/>
      <c r="IJ261" s="692"/>
      <c r="IK261" s="692"/>
      <c r="IL261" s="692"/>
      <c r="IM261" s="692"/>
      <c r="IN261" s="692"/>
      <c r="IO261" s="692"/>
      <c r="IP261" s="692"/>
      <c r="IQ261" s="692"/>
      <c r="IR261" s="692"/>
      <c r="IS261" s="692"/>
      <c r="IT261" s="692"/>
      <c r="IU261" s="692"/>
      <c r="IV261" s="692"/>
      <c r="IW261" s="692"/>
      <c r="IX261" s="692"/>
      <c r="IY261" s="692"/>
      <c r="IZ261" s="692"/>
      <c r="JA261" s="692"/>
      <c r="JB261" s="692"/>
      <c r="JC261" s="692"/>
      <c r="JD261" s="692"/>
      <c r="JE261" s="692"/>
      <c r="JF261" s="692"/>
      <c r="JG261" s="692"/>
      <c r="JH261" s="692"/>
      <c r="JI261" s="692"/>
      <c r="JJ261" s="692"/>
      <c r="JK261" s="692"/>
      <c r="JL261" s="692"/>
      <c r="JM261" s="692"/>
      <c r="JN261" s="692"/>
      <c r="JO261" s="692"/>
      <c r="JP261" s="692"/>
      <c r="JQ261" s="692"/>
      <c r="JR261" s="692"/>
      <c r="JS261" s="692"/>
      <c r="JT261" s="692"/>
      <c r="JU261" s="692"/>
      <c r="JV261" s="692"/>
      <c r="JW261" s="692"/>
      <c r="JX261" s="692"/>
      <c r="JY261" s="692"/>
      <c r="JZ261" s="692"/>
      <c r="KA261" s="692"/>
      <c r="KB261" s="692"/>
      <c r="KC261" s="692"/>
      <c r="KD261" s="692"/>
      <c r="KE261" s="692"/>
      <c r="KF261" s="692"/>
      <c r="KG261" s="692"/>
      <c r="KH261" s="692"/>
      <c r="KI261" s="692"/>
      <c r="KJ261" s="692"/>
      <c r="KK261" s="692"/>
      <c r="KL261" s="692"/>
      <c r="KM261" s="692"/>
      <c r="KN261" s="692"/>
      <c r="KO261" s="692"/>
      <c r="KP261" s="692"/>
      <c r="KQ261" s="692"/>
      <c r="KR261" s="692"/>
      <c r="KS261" s="692"/>
      <c r="KT261" s="692"/>
      <c r="KU261" s="692"/>
      <c r="KV261" s="692"/>
      <c r="KW261" s="692"/>
      <c r="KX261" s="692"/>
      <c r="KY261" s="692"/>
      <c r="KZ261" s="692"/>
      <c r="LA261" s="692"/>
      <c r="LB261" s="692"/>
      <c r="LC261" s="692"/>
      <c r="LD261" s="692"/>
      <c r="LE261" s="692"/>
      <c r="LF261" s="692"/>
      <c r="LG261" s="692"/>
      <c r="LH261" s="692"/>
      <c r="LI261" s="692"/>
      <c r="LJ261" s="692"/>
      <c r="LK261" s="692"/>
      <c r="LL261" s="692"/>
      <c r="LM261" s="692"/>
      <c r="LN261" s="692"/>
      <c r="LO261" s="692"/>
      <c r="LP261" s="692"/>
      <c r="LQ261" s="692"/>
      <c r="LR261" s="692"/>
      <c r="LS261" s="692"/>
      <c r="LT261" s="692"/>
      <c r="LU261" s="692"/>
      <c r="LV261" s="692"/>
      <c r="LW261" s="692"/>
      <c r="LX261" s="692"/>
      <c r="LY261" s="692"/>
      <c r="LZ261" s="692"/>
      <c r="MA261" s="692"/>
      <c r="MB261" s="692"/>
      <c r="MC261" s="692"/>
      <c r="MD261" s="692"/>
      <c r="ME261" s="692"/>
      <c r="MF261" s="692"/>
      <c r="MG261" s="692"/>
      <c r="MH261" s="692"/>
      <c r="MI261" s="692"/>
      <c r="MJ261" s="692"/>
      <c r="MK261" s="692"/>
      <c r="ML261" s="692"/>
      <c r="MM261" s="692"/>
      <c r="MN261" s="692"/>
      <c r="MO261" s="692"/>
      <c r="MP261" s="692"/>
      <c r="MQ261" s="692"/>
      <c r="MR261" s="692"/>
      <c r="MS261" s="692"/>
      <c r="MT261" s="692"/>
      <c r="MU261" s="692"/>
      <c r="MV261" s="692"/>
      <c r="MW261" s="692"/>
      <c r="MX261" s="692"/>
      <c r="MY261" s="692"/>
      <c r="MZ261" s="692"/>
      <c r="NA261" s="692"/>
      <c r="NB261" s="692"/>
      <c r="NC261" s="692"/>
      <c r="ND261" s="692"/>
      <c r="NE261" s="692"/>
      <c r="NF261" s="692"/>
      <c r="NG261" s="692"/>
      <c r="NH261" s="692"/>
      <c r="NI261" s="692"/>
      <c r="NJ261" s="692"/>
      <c r="NK261" s="692"/>
      <c r="NL261" s="692"/>
      <c r="NM261" s="692"/>
      <c r="NN261" s="692"/>
      <c r="NO261" s="692"/>
      <c r="NP261" s="692"/>
      <c r="NQ261" s="692"/>
      <c r="NR261" s="692"/>
    </row>
    <row r="262" spans="1:382" ht="15.75" thickBot="1" x14ac:dyDescent="0.3">
      <c r="A262" s="680"/>
      <c r="B262" s="121"/>
      <c r="C262" s="509"/>
      <c r="D262" s="25"/>
      <c r="E262" s="25"/>
      <c r="F262" s="203"/>
      <c r="G262" s="692"/>
      <c r="H262" s="692"/>
      <c r="I262" s="692"/>
      <c r="J262" s="692"/>
      <c r="K262" s="692"/>
      <c r="L262" s="692"/>
      <c r="M262" s="692"/>
      <c r="N262" s="692"/>
      <c r="O262" s="692"/>
      <c r="P262" s="692"/>
      <c r="Q262" s="692"/>
      <c r="R262" s="692"/>
      <c r="S262" s="692"/>
      <c r="T262" s="692"/>
      <c r="U262" s="692"/>
      <c r="V262" s="692"/>
      <c r="W262" s="692"/>
      <c r="X262" s="692"/>
      <c r="Y262" s="692"/>
      <c r="Z262" s="692"/>
      <c r="AA262" s="692"/>
      <c r="AB262" s="692"/>
      <c r="AC262" s="692"/>
      <c r="AD262" s="692"/>
      <c r="AE262" s="692"/>
      <c r="AF262" s="692"/>
      <c r="AG262" s="692"/>
      <c r="AH262" s="692"/>
      <c r="AI262" s="692"/>
      <c r="AJ262" s="692"/>
      <c r="AK262" s="692"/>
      <c r="AL262" s="692"/>
      <c r="AM262" s="692"/>
      <c r="AN262" s="692"/>
      <c r="AO262" s="692"/>
      <c r="AP262" s="692"/>
      <c r="AQ262" s="692"/>
      <c r="AR262" s="692"/>
      <c r="AS262" s="692"/>
      <c r="AT262" s="692"/>
      <c r="AU262" s="692"/>
      <c r="AV262" s="692"/>
      <c r="AW262" s="692"/>
      <c r="AX262" s="692"/>
      <c r="AY262" s="692"/>
      <c r="AZ262" s="692"/>
      <c r="BA262" s="692"/>
      <c r="BB262" s="692"/>
      <c r="BC262" s="692"/>
      <c r="BD262" s="692"/>
      <c r="BE262" s="692"/>
      <c r="BF262" s="692"/>
      <c r="BG262" s="692"/>
      <c r="BH262" s="692"/>
      <c r="BI262" s="692"/>
      <c r="BJ262" s="692"/>
      <c r="BK262" s="692"/>
      <c r="BL262" s="692"/>
      <c r="BM262" s="692"/>
      <c r="BN262" s="692"/>
      <c r="BO262" s="692"/>
      <c r="BP262" s="692"/>
      <c r="BQ262" s="692"/>
      <c r="BR262" s="692"/>
      <c r="BS262" s="692"/>
      <c r="BT262" s="692"/>
      <c r="BU262" s="692"/>
      <c r="BV262" s="692"/>
      <c r="BW262" s="692"/>
      <c r="BX262" s="692"/>
      <c r="BY262" s="692"/>
      <c r="BZ262" s="692"/>
      <c r="CA262" s="692"/>
      <c r="CB262" s="692"/>
      <c r="CC262" s="692"/>
      <c r="CD262" s="692"/>
      <c r="CE262" s="692"/>
      <c r="CF262" s="692"/>
      <c r="CG262" s="692"/>
      <c r="CH262" s="692"/>
      <c r="CI262" s="692"/>
      <c r="CJ262" s="692"/>
      <c r="CK262" s="692"/>
      <c r="CL262" s="692"/>
      <c r="CM262" s="692"/>
      <c r="CN262" s="692"/>
      <c r="CO262" s="692"/>
      <c r="CP262" s="692"/>
      <c r="CQ262" s="692"/>
      <c r="CR262" s="692"/>
      <c r="CS262" s="692"/>
      <c r="CT262" s="692"/>
      <c r="CU262" s="692"/>
      <c r="CV262" s="692"/>
      <c r="CW262" s="692"/>
      <c r="CX262" s="692"/>
      <c r="CY262" s="692"/>
      <c r="CZ262" s="692"/>
      <c r="DA262" s="692"/>
      <c r="DB262" s="692"/>
      <c r="DC262" s="692"/>
      <c r="DD262" s="692"/>
      <c r="DE262" s="692"/>
      <c r="DF262" s="692"/>
      <c r="DG262" s="692"/>
      <c r="DH262" s="692"/>
      <c r="DI262" s="692"/>
      <c r="DJ262" s="692"/>
      <c r="DK262" s="692"/>
      <c r="DL262" s="692"/>
      <c r="DM262" s="692"/>
      <c r="DN262" s="692"/>
      <c r="DO262" s="692"/>
      <c r="DP262" s="692"/>
      <c r="DQ262" s="692"/>
      <c r="DR262" s="692"/>
      <c r="DS262" s="692"/>
      <c r="DT262" s="692"/>
      <c r="DU262" s="692"/>
      <c r="DV262" s="692"/>
      <c r="DW262" s="692"/>
      <c r="DX262" s="692"/>
      <c r="DY262" s="692"/>
      <c r="DZ262" s="692"/>
      <c r="EA262" s="692"/>
      <c r="EB262" s="692"/>
      <c r="EC262" s="692"/>
      <c r="ED262" s="692"/>
      <c r="EE262" s="692"/>
      <c r="EF262" s="692"/>
      <c r="EG262" s="692"/>
      <c r="EH262" s="692"/>
      <c r="EI262" s="692"/>
      <c r="EJ262" s="692"/>
      <c r="EK262" s="692"/>
      <c r="EL262" s="692"/>
      <c r="EM262" s="692"/>
      <c r="EN262" s="692"/>
      <c r="EO262" s="692"/>
      <c r="EP262" s="692"/>
      <c r="EQ262" s="692"/>
      <c r="ER262" s="692"/>
      <c r="ES262" s="692"/>
      <c r="ET262" s="692"/>
      <c r="EU262" s="692"/>
      <c r="EV262" s="692"/>
      <c r="EW262" s="692"/>
      <c r="EX262" s="692"/>
      <c r="EY262" s="692"/>
      <c r="EZ262" s="692"/>
      <c r="FA262" s="692"/>
      <c r="FB262" s="692"/>
      <c r="FC262" s="692"/>
      <c r="FD262" s="692"/>
      <c r="FE262" s="692"/>
      <c r="FF262" s="692"/>
      <c r="FG262" s="692"/>
      <c r="FH262" s="692"/>
      <c r="FI262" s="692"/>
      <c r="FJ262" s="692"/>
      <c r="FK262" s="692"/>
      <c r="FL262" s="692"/>
      <c r="FM262" s="692"/>
      <c r="FN262" s="692"/>
      <c r="FO262" s="692"/>
      <c r="FP262" s="692"/>
      <c r="FQ262" s="692"/>
      <c r="FR262" s="692"/>
      <c r="FS262" s="692"/>
      <c r="FT262" s="692"/>
      <c r="FU262" s="692"/>
      <c r="FV262" s="692"/>
      <c r="FW262" s="692"/>
      <c r="FX262" s="692"/>
      <c r="FY262" s="692"/>
      <c r="FZ262" s="692"/>
      <c r="GA262" s="692"/>
      <c r="GB262" s="692"/>
      <c r="GC262" s="692"/>
      <c r="GD262" s="692"/>
      <c r="GE262" s="692"/>
      <c r="GF262" s="692"/>
      <c r="GG262" s="692"/>
      <c r="GH262" s="692"/>
      <c r="GI262" s="692"/>
      <c r="GJ262" s="692"/>
      <c r="GK262" s="692"/>
      <c r="GL262" s="692"/>
      <c r="GM262" s="692"/>
      <c r="GN262" s="692"/>
      <c r="GO262" s="692"/>
      <c r="GP262" s="692"/>
      <c r="GQ262" s="692"/>
      <c r="GR262" s="692"/>
      <c r="GS262" s="692"/>
      <c r="GT262" s="692"/>
      <c r="GU262" s="692"/>
      <c r="GV262" s="692"/>
      <c r="GW262" s="692"/>
      <c r="GX262" s="692"/>
      <c r="GY262" s="692"/>
      <c r="GZ262" s="692"/>
      <c r="HA262" s="692"/>
      <c r="HB262" s="692"/>
      <c r="HC262" s="692"/>
      <c r="HD262" s="692"/>
      <c r="HE262" s="692"/>
      <c r="HF262" s="692"/>
      <c r="HG262" s="692"/>
      <c r="HH262" s="692"/>
      <c r="HI262" s="692"/>
      <c r="HJ262" s="692"/>
      <c r="HK262" s="692"/>
      <c r="HL262" s="692"/>
      <c r="HM262" s="692"/>
      <c r="HN262" s="692"/>
      <c r="HO262" s="692"/>
      <c r="HP262" s="692"/>
      <c r="HQ262" s="692"/>
      <c r="HR262" s="692"/>
      <c r="HS262" s="692"/>
      <c r="HT262" s="692"/>
      <c r="HU262" s="692"/>
      <c r="HV262" s="692"/>
      <c r="HW262" s="692"/>
      <c r="HX262" s="692"/>
      <c r="HY262" s="692"/>
      <c r="HZ262" s="692"/>
      <c r="IA262" s="692"/>
      <c r="IB262" s="692"/>
      <c r="IC262" s="692"/>
      <c r="ID262" s="692"/>
      <c r="IE262" s="692"/>
      <c r="IF262" s="692"/>
      <c r="IG262" s="692"/>
      <c r="IH262" s="692"/>
      <c r="II262" s="692"/>
      <c r="IJ262" s="692"/>
      <c r="IK262" s="692"/>
      <c r="IL262" s="692"/>
      <c r="IM262" s="692"/>
      <c r="IN262" s="692"/>
      <c r="IO262" s="692"/>
      <c r="IP262" s="692"/>
      <c r="IQ262" s="692"/>
      <c r="IR262" s="692"/>
      <c r="IS262" s="692"/>
      <c r="IT262" s="692"/>
      <c r="IU262" s="692"/>
      <c r="IV262" s="692"/>
      <c r="IW262" s="692"/>
      <c r="IX262" s="692"/>
      <c r="IY262" s="692"/>
      <c r="IZ262" s="692"/>
      <c r="JA262" s="692"/>
      <c r="JB262" s="692"/>
      <c r="JC262" s="692"/>
      <c r="JD262" s="692"/>
      <c r="JE262" s="692"/>
      <c r="JF262" s="692"/>
      <c r="JG262" s="692"/>
      <c r="JH262" s="692"/>
      <c r="JI262" s="692"/>
      <c r="JJ262" s="692"/>
      <c r="JK262" s="692"/>
      <c r="JL262" s="692"/>
      <c r="JM262" s="692"/>
      <c r="JN262" s="692"/>
      <c r="JO262" s="692"/>
      <c r="JP262" s="692"/>
      <c r="JQ262" s="692"/>
      <c r="JR262" s="692"/>
      <c r="JS262" s="692"/>
      <c r="JT262" s="692"/>
      <c r="JU262" s="692"/>
      <c r="JV262" s="692"/>
      <c r="JW262" s="692"/>
      <c r="JX262" s="692"/>
      <c r="JY262" s="692"/>
      <c r="JZ262" s="692"/>
      <c r="KA262" s="692"/>
      <c r="KB262" s="692"/>
      <c r="KC262" s="692"/>
      <c r="KD262" s="692"/>
      <c r="KE262" s="692"/>
      <c r="KF262" s="692"/>
      <c r="KG262" s="692"/>
      <c r="KH262" s="692"/>
      <c r="KI262" s="692"/>
      <c r="KJ262" s="692"/>
      <c r="KK262" s="692"/>
      <c r="KL262" s="692"/>
      <c r="KM262" s="692"/>
      <c r="KN262" s="692"/>
      <c r="KO262" s="692"/>
      <c r="KP262" s="692"/>
      <c r="KQ262" s="692"/>
      <c r="KR262" s="692"/>
      <c r="KS262" s="692"/>
      <c r="KT262" s="692"/>
      <c r="KU262" s="692"/>
      <c r="KV262" s="692"/>
      <c r="KW262" s="692"/>
      <c r="KX262" s="692"/>
      <c r="KY262" s="692"/>
      <c r="KZ262" s="692"/>
      <c r="LA262" s="692"/>
      <c r="LB262" s="692"/>
      <c r="LC262" s="692"/>
      <c r="LD262" s="692"/>
      <c r="LE262" s="692"/>
      <c r="LF262" s="692"/>
      <c r="LG262" s="692"/>
      <c r="LH262" s="692"/>
      <c r="LI262" s="692"/>
      <c r="LJ262" s="692"/>
      <c r="LK262" s="692"/>
      <c r="LL262" s="692"/>
      <c r="LM262" s="692"/>
      <c r="LN262" s="692"/>
      <c r="LO262" s="692"/>
      <c r="LP262" s="692"/>
      <c r="LQ262" s="692"/>
      <c r="LR262" s="692"/>
      <c r="LS262" s="692"/>
      <c r="LT262" s="692"/>
      <c r="LU262" s="692"/>
      <c r="LV262" s="692"/>
      <c r="LW262" s="692"/>
      <c r="LX262" s="692"/>
      <c r="LY262" s="692"/>
      <c r="LZ262" s="692"/>
      <c r="MA262" s="692"/>
      <c r="MB262" s="692"/>
      <c r="MC262" s="692"/>
      <c r="MD262" s="692"/>
      <c r="ME262" s="692"/>
      <c r="MF262" s="692"/>
      <c r="MG262" s="692"/>
      <c r="MH262" s="692"/>
      <c r="MI262" s="692"/>
      <c r="MJ262" s="692"/>
      <c r="MK262" s="692"/>
      <c r="ML262" s="692"/>
      <c r="MM262" s="692"/>
      <c r="MN262" s="692"/>
      <c r="MO262" s="692"/>
      <c r="MP262" s="692"/>
      <c r="MQ262" s="692"/>
      <c r="MR262" s="692"/>
      <c r="MS262" s="692"/>
      <c r="MT262" s="692"/>
      <c r="MU262" s="692"/>
      <c r="MV262" s="692"/>
      <c r="MW262" s="692"/>
      <c r="MX262" s="692"/>
      <c r="MY262" s="692"/>
      <c r="MZ262" s="692"/>
      <c r="NA262" s="692"/>
      <c r="NB262" s="692"/>
      <c r="NC262" s="692"/>
      <c r="ND262" s="692"/>
      <c r="NE262" s="692"/>
      <c r="NF262" s="692"/>
      <c r="NG262" s="692"/>
      <c r="NH262" s="692"/>
      <c r="NI262" s="692"/>
      <c r="NJ262" s="692"/>
      <c r="NK262" s="692"/>
      <c r="NL262" s="692"/>
      <c r="NM262" s="692"/>
      <c r="NN262" s="692"/>
      <c r="NO262" s="692"/>
      <c r="NP262" s="692"/>
      <c r="NQ262" s="692"/>
      <c r="NR262" s="692"/>
    </row>
    <row r="263" spans="1:382" ht="15.75" thickBot="1" x14ac:dyDescent="0.3">
      <c r="A263" s="680"/>
      <c r="B263" s="680" t="s">
        <v>1073</v>
      </c>
      <c r="C263" s="422">
        <f>'Input Data'!$E$305</f>
        <v>0</v>
      </c>
      <c r="D263" s="680" t="s">
        <v>1071</v>
      </c>
      <c r="E263" s="25"/>
      <c r="F263" s="203"/>
      <c r="G263" s="692"/>
      <c r="H263" s="692"/>
      <c r="I263" s="692"/>
      <c r="J263" s="692"/>
      <c r="K263" s="692"/>
      <c r="L263" s="692"/>
      <c r="M263" s="692"/>
      <c r="N263" s="692"/>
      <c r="O263" s="692"/>
      <c r="P263" s="692"/>
      <c r="Q263" s="692"/>
      <c r="R263" s="692"/>
      <c r="S263" s="692"/>
      <c r="T263" s="692"/>
      <c r="U263" s="692"/>
      <c r="V263" s="692"/>
      <c r="W263" s="692"/>
      <c r="X263" s="692"/>
      <c r="Y263" s="692"/>
      <c r="Z263" s="692"/>
      <c r="AA263" s="692"/>
      <c r="AB263" s="692"/>
      <c r="AC263" s="692"/>
      <c r="AD263" s="692"/>
      <c r="AE263" s="692"/>
      <c r="AF263" s="692"/>
      <c r="AG263" s="692"/>
      <c r="AH263" s="692"/>
      <c r="AI263" s="692"/>
      <c r="AJ263" s="692"/>
      <c r="AK263" s="692"/>
      <c r="AL263" s="692"/>
      <c r="AM263" s="692"/>
      <c r="AN263" s="692"/>
      <c r="AO263" s="692"/>
      <c r="AP263" s="692"/>
      <c r="AQ263" s="692"/>
      <c r="AR263" s="692"/>
      <c r="AS263" s="692"/>
      <c r="AT263" s="692"/>
      <c r="AU263" s="692"/>
      <c r="AV263" s="692"/>
      <c r="AW263" s="692"/>
      <c r="AX263" s="692"/>
      <c r="AY263" s="692"/>
      <c r="AZ263" s="692"/>
      <c r="BA263" s="692"/>
      <c r="BB263" s="692"/>
      <c r="BC263" s="692"/>
      <c r="BD263" s="692"/>
      <c r="BE263" s="692"/>
      <c r="BF263" s="692"/>
      <c r="BG263" s="692"/>
      <c r="BH263" s="692"/>
      <c r="BI263" s="692"/>
      <c r="BJ263" s="692"/>
      <c r="BK263" s="692"/>
      <c r="BL263" s="692"/>
      <c r="BM263" s="692"/>
      <c r="BN263" s="692"/>
      <c r="BO263" s="692"/>
      <c r="BP263" s="692"/>
      <c r="BQ263" s="692"/>
      <c r="BR263" s="692"/>
      <c r="BS263" s="692"/>
      <c r="BT263" s="692"/>
      <c r="BU263" s="692"/>
      <c r="BV263" s="692"/>
      <c r="BW263" s="692"/>
      <c r="BX263" s="692"/>
      <c r="BY263" s="692"/>
      <c r="BZ263" s="692"/>
      <c r="CA263" s="692"/>
      <c r="CB263" s="692"/>
      <c r="CC263" s="692"/>
      <c r="CD263" s="692"/>
      <c r="CE263" s="692"/>
      <c r="CF263" s="692"/>
      <c r="CG263" s="692"/>
      <c r="CH263" s="692"/>
      <c r="CI263" s="692"/>
      <c r="CJ263" s="692"/>
      <c r="CK263" s="692"/>
      <c r="CL263" s="692"/>
      <c r="CM263" s="692"/>
      <c r="CN263" s="692"/>
      <c r="CO263" s="692"/>
      <c r="CP263" s="692"/>
      <c r="CQ263" s="692"/>
      <c r="CR263" s="692"/>
      <c r="CS263" s="692"/>
      <c r="CT263" s="692"/>
      <c r="CU263" s="692"/>
      <c r="CV263" s="692"/>
      <c r="CW263" s="692"/>
      <c r="CX263" s="692"/>
      <c r="CY263" s="692"/>
      <c r="CZ263" s="692"/>
      <c r="DA263" s="692"/>
      <c r="DB263" s="692"/>
      <c r="DC263" s="692"/>
      <c r="DD263" s="692"/>
      <c r="DE263" s="692"/>
      <c r="DF263" s="692"/>
      <c r="DG263" s="692"/>
      <c r="DH263" s="692"/>
      <c r="DI263" s="692"/>
      <c r="DJ263" s="692"/>
      <c r="DK263" s="692"/>
      <c r="DL263" s="692"/>
      <c r="DM263" s="692"/>
      <c r="DN263" s="692"/>
      <c r="DO263" s="692"/>
      <c r="DP263" s="692"/>
      <c r="DQ263" s="692"/>
      <c r="DR263" s="692"/>
      <c r="DS263" s="692"/>
      <c r="DT263" s="692"/>
      <c r="DU263" s="692"/>
      <c r="DV263" s="692"/>
      <c r="DW263" s="692"/>
      <c r="DX263" s="692"/>
      <c r="DY263" s="692"/>
      <c r="DZ263" s="692"/>
      <c r="EA263" s="692"/>
      <c r="EB263" s="692"/>
      <c r="EC263" s="692"/>
      <c r="ED263" s="692"/>
      <c r="EE263" s="692"/>
      <c r="EF263" s="692"/>
      <c r="EG263" s="692"/>
      <c r="EH263" s="692"/>
      <c r="EI263" s="692"/>
      <c r="EJ263" s="692"/>
      <c r="EK263" s="692"/>
      <c r="EL263" s="692"/>
      <c r="EM263" s="692"/>
      <c r="EN263" s="692"/>
      <c r="EO263" s="692"/>
      <c r="EP263" s="692"/>
      <c r="EQ263" s="692"/>
      <c r="ER263" s="692"/>
      <c r="ES263" s="692"/>
      <c r="ET263" s="692"/>
      <c r="EU263" s="692"/>
      <c r="EV263" s="692"/>
      <c r="EW263" s="692"/>
      <c r="EX263" s="692"/>
      <c r="EY263" s="692"/>
      <c r="EZ263" s="692"/>
      <c r="FA263" s="692"/>
      <c r="FB263" s="692"/>
      <c r="FC263" s="692"/>
      <c r="FD263" s="692"/>
      <c r="FE263" s="692"/>
      <c r="FF263" s="692"/>
      <c r="FG263" s="692"/>
      <c r="FH263" s="692"/>
      <c r="FI263" s="692"/>
      <c r="FJ263" s="692"/>
      <c r="FK263" s="692"/>
      <c r="FL263" s="692"/>
      <c r="FM263" s="692"/>
      <c r="FN263" s="692"/>
      <c r="FO263" s="692"/>
      <c r="FP263" s="692"/>
      <c r="FQ263" s="692"/>
      <c r="FR263" s="692"/>
      <c r="FS263" s="692"/>
      <c r="FT263" s="692"/>
      <c r="FU263" s="692"/>
      <c r="FV263" s="692"/>
      <c r="FW263" s="692"/>
      <c r="FX263" s="692"/>
      <c r="FY263" s="692"/>
      <c r="FZ263" s="692"/>
      <c r="GA263" s="692"/>
      <c r="GB263" s="692"/>
      <c r="GC263" s="692"/>
      <c r="GD263" s="692"/>
      <c r="GE263" s="692"/>
      <c r="GF263" s="692"/>
      <c r="GG263" s="692"/>
      <c r="GH263" s="692"/>
      <c r="GI263" s="692"/>
      <c r="GJ263" s="692"/>
      <c r="GK263" s="692"/>
      <c r="GL263" s="692"/>
      <c r="GM263" s="692"/>
      <c r="GN263" s="692"/>
      <c r="GO263" s="692"/>
      <c r="GP263" s="692"/>
      <c r="GQ263" s="692"/>
      <c r="GR263" s="692"/>
      <c r="GS263" s="692"/>
      <c r="GT263" s="692"/>
      <c r="GU263" s="692"/>
      <c r="GV263" s="692"/>
      <c r="GW263" s="692"/>
      <c r="GX263" s="692"/>
      <c r="GY263" s="692"/>
      <c r="GZ263" s="692"/>
      <c r="HA263" s="692"/>
      <c r="HB263" s="692"/>
      <c r="HC263" s="692"/>
      <c r="HD263" s="692"/>
      <c r="HE263" s="692"/>
      <c r="HF263" s="692"/>
      <c r="HG263" s="692"/>
      <c r="HH263" s="692"/>
      <c r="HI263" s="692"/>
      <c r="HJ263" s="692"/>
      <c r="HK263" s="692"/>
      <c r="HL263" s="692"/>
      <c r="HM263" s="692"/>
      <c r="HN263" s="692"/>
      <c r="HO263" s="692"/>
      <c r="HP263" s="692"/>
      <c r="HQ263" s="692"/>
      <c r="HR263" s="692"/>
      <c r="HS263" s="692"/>
      <c r="HT263" s="692"/>
      <c r="HU263" s="692"/>
      <c r="HV263" s="692"/>
      <c r="HW263" s="692"/>
      <c r="HX263" s="692"/>
      <c r="HY263" s="692"/>
      <c r="HZ263" s="692"/>
      <c r="IA263" s="692"/>
      <c r="IB263" s="692"/>
      <c r="IC263" s="692"/>
      <c r="ID263" s="692"/>
      <c r="IE263" s="692"/>
      <c r="IF263" s="692"/>
      <c r="IG263" s="692"/>
      <c r="IH263" s="692"/>
      <c r="II263" s="692"/>
      <c r="IJ263" s="692"/>
      <c r="IK263" s="692"/>
      <c r="IL263" s="692"/>
      <c r="IM263" s="692"/>
      <c r="IN263" s="692"/>
      <c r="IO263" s="692"/>
      <c r="IP263" s="692"/>
      <c r="IQ263" s="692"/>
      <c r="IR263" s="692"/>
      <c r="IS263" s="692"/>
      <c r="IT263" s="692"/>
      <c r="IU263" s="692"/>
      <c r="IV263" s="692"/>
      <c r="IW263" s="692"/>
      <c r="IX263" s="692"/>
      <c r="IY263" s="692"/>
      <c r="IZ263" s="692"/>
      <c r="JA263" s="692"/>
      <c r="JB263" s="692"/>
      <c r="JC263" s="692"/>
      <c r="JD263" s="692"/>
      <c r="JE263" s="692"/>
      <c r="JF263" s="692"/>
      <c r="JG263" s="692"/>
      <c r="JH263" s="692"/>
      <c r="JI263" s="692"/>
      <c r="JJ263" s="692"/>
      <c r="JK263" s="692"/>
      <c r="JL263" s="692"/>
      <c r="JM263" s="692"/>
      <c r="JN263" s="692"/>
      <c r="JO263" s="692"/>
      <c r="JP263" s="692"/>
      <c r="JQ263" s="692"/>
      <c r="JR263" s="692"/>
      <c r="JS263" s="692"/>
      <c r="JT263" s="692"/>
      <c r="JU263" s="692"/>
      <c r="JV263" s="692"/>
      <c r="JW263" s="692"/>
      <c r="JX263" s="692"/>
      <c r="JY263" s="692"/>
      <c r="JZ263" s="692"/>
      <c r="KA263" s="692"/>
      <c r="KB263" s="692"/>
      <c r="KC263" s="692"/>
      <c r="KD263" s="692"/>
      <c r="KE263" s="692"/>
      <c r="KF263" s="692"/>
      <c r="KG263" s="692"/>
      <c r="KH263" s="692"/>
      <c r="KI263" s="692"/>
      <c r="KJ263" s="692"/>
      <c r="KK263" s="692"/>
      <c r="KL263" s="692"/>
      <c r="KM263" s="692"/>
      <c r="KN263" s="692"/>
      <c r="KO263" s="692"/>
      <c r="KP263" s="692"/>
      <c r="KQ263" s="692"/>
      <c r="KR263" s="692"/>
      <c r="KS263" s="692"/>
      <c r="KT263" s="692"/>
      <c r="KU263" s="692"/>
      <c r="KV263" s="692"/>
      <c r="KW263" s="692"/>
      <c r="KX263" s="692"/>
      <c r="KY263" s="692"/>
      <c r="KZ263" s="692"/>
      <c r="LA263" s="692"/>
      <c r="LB263" s="692"/>
      <c r="LC263" s="692"/>
      <c r="LD263" s="692"/>
      <c r="LE263" s="692"/>
      <c r="LF263" s="692"/>
      <c r="LG263" s="692"/>
      <c r="LH263" s="692"/>
      <c r="LI263" s="692"/>
      <c r="LJ263" s="692"/>
      <c r="LK263" s="692"/>
      <c r="LL263" s="692"/>
      <c r="LM263" s="692"/>
      <c r="LN263" s="692"/>
      <c r="LO263" s="692"/>
      <c r="LP263" s="692"/>
      <c r="LQ263" s="692"/>
      <c r="LR263" s="692"/>
      <c r="LS263" s="692"/>
      <c r="LT263" s="692"/>
      <c r="LU263" s="692"/>
      <c r="LV263" s="692"/>
      <c r="LW263" s="692"/>
      <c r="LX263" s="692"/>
      <c r="LY263" s="692"/>
      <c r="LZ263" s="692"/>
      <c r="MA263" s="692"/>
      <c r="MB263" s="692"/>
      <c r="MC263" s="692"/>
      <c r="MD263" s="692"/>
      <c r="ME263" s="692"/>
      <c r="MF263" s="692"/>
      <c r="MG263" s="692"/>
      <c r="MH263" s="692"/>
      <c r="MI263" s="692"/>
      <c r="MJ263" s="692"/>
      <c r="MK263" s="692"/>
      <c r="ML263" s="692"/>
      <c r="MM263" s="692"/>
      <c r="MN263" s="692"/>
      <c r="MO263" s="692"/>
      <c r="MP263" s="692"/>
      <c r="MQ263" s="692"/>
      <c r="MR263" s="692"/>
      <c r="MS263" s="692"/>
      <c r="MT263" s="692"/>
      <c r="MU263" s="692"/>
      <c r="MV263" s="692"/>
      <c r="MW263" s="692"/>
      <c r="MX263" s="692"/>
      <c r="MY263" s="692"/>
      <c r="MZ263" s="692"/>
      <c r="NA263" s="692"/>
      <c r="NB263" s="692"/>
      <c r="NC263" s="692"/>
      <c r="ND263" s="692"/>
      <c r="NE263" s="692"/>
      <c r="NF263" s="692"/>
      <c r="NG263" s="692"/>
      <c r="NH263" s="692"/>
      <c r="NI263" s="692"/>
      <c r="NJ263" s="692"/>
      <c r="NK263" s="692"/>
      <c r="NL263" s="692"/>
      <c r="NM263" s="692"/>
      <c r="NN263" s="692"/>
      <c r="NO263" s="692"/>
      <c r="NP263" s="692"/>
      <c r="NQ263" s="692"/>
      <c r="NR263" s="692"/>
    </row>
    <row r="264" spans="1:382" ht="15.75" thickBot="1" x14ac:dyDescent="0.3">
      <c r="A264" s="680"/>
      <c r="B264" s="47" t="s">
        <v>1321</v>
      </c>
      <c r="C264" s="696">
        <f>'Input Data'!E15</f>
        <v>0</v>
      </c>
      <c r="D264" s="680" t="s">
        <v>367</v>
      </c>
      <c r="E264" s="25"/>
      <c r="F264" s="203"/>
      <c r="G264" s="692"/>
      <c r="H264" s="692"/>
      <c r="I264" s="692"/>
      <c r="J264" s="692"/>
      <c r="K264" s="692"/>
      <c r="L264" s="692"/>
      <c r="M264" s="692"/>
      <c r="N264" s="692"/>
      <c r="O264" s="692"/>
      <c r="P264" s="692"/>
      <c r="Q264" s="692"/>
      <c r="R264" s="692"/>
      <c r="S264" s="692"/>
      <c r="T264" s="692"/>
      <c r="U264" s="692"/>
      <c r="V264" s="692"/>
      <c r="W264" s="692"/>
      <c r="X264" s="692"/>
      <c r="Y264" s="692"/>
      <c r="Z264" s="692"/>
      <c r="AA264" s="692"/>
      <c r="AB264" s="692"/>
      <c r="AC264" s="692"/>
      <c r="AD264" s="692"/>
      <c r="AE264" s="692"/>
      <c r="AF264" s="692"/>
      <c r="AG264" s="692"/>
      <c r="AH264" s="692"/>
      <c r="AI264" s="692"/>
      <c r="AJ264" s="692"/>
      <c r="AK264" s="692"/>
      <c r="AL264" s="692"/>
      <c r="AM264" s="692"/>
      <c r="AN264" s="692"/>
      <c r="AO264" s="692"/>
      <c r="AP264" s="692"/>
      <c r="AQ264" s="692"/>
      <c r="AR264" s="692"/>
      <c r="AS264" s="692"/>
      <c r="AT264" s="692"/>
      <c r="AU264" s="692"/>
      <c r="AV264" s="692"/>
      <c r="AW264" s="692"/>
      <c r="AX264" s="692"/>
      <c r="AY264" s="692"/>
      <c r="AZ264" s="692"/>
      <c r="BA264" s="692"/>
      <c r="BB264" s="692"/>
      <c r="BC264" s="692"/>
      <c r="BD264" s="692"/>
      <c r="BE264" s="692"/>
      <c r="BF264" s="692"/>
      <c r="BG264" s="692"/>
      <c r="BH264" s="692"/>
      <c r="BI264" s="692"/>
      <c r="BJ264" s="692"/>
      <c r="BK264" s="692"/>
      <c r="BL264" s="692"/>
      <c r="BM264" s="692"/>
      <c r="BN264" s="692"/>
      <c r="BO264" s="692"/>
      <c r="BP264" s="692"/>
      <c r="BQ264" s="692"/>
      <c r="BR264" s="692"/>
      <c r="BS264" s="692"/>
      <c r="BT264" s="692"/>
      <c r="BU264" s="692"/>
      <c r="BV264" s="692"/>
      <c r="BW264" s="692"/>
      <c r="BX264" s="692"/>
      <c r="BY264" s="692"/>
      <c r="BZ264" s="692"/>
      <c r="CA264" s="692"/>
      <c r="CB264" s="692"/>
      <c r="CC264" s="692"/>
      <c r="CD264" s="692"/>
      <c r="CE264" s="692"/>
      <c r="CF264" s="692"/>
      <c r="CG264" s="692"/>
      <c r="CH264" s="692"/>
      <c r="CI264" s="692"/>
      <c r="CJ264" s="692"/>
      <c r="CK264" s="692"/>
      <c r="CL264" s="692"/>
      <c r="CM264" s="692"/>
      <c r="CN264" s="692"/>
      <c r="CO264" s="692"/>
      <c r="CP264" s="692"/>
      <c r="CQ264" s="692"/>
      <c r="CR264" s="692"/>
      <c r="CS264" s="692"/>
      <c r="CT264" s="692"/>
      <c r="CU264" s="692"/>
      <c r="CV264" s="692"/>
      <c r="CW264" s="692"/>
      <c r="CX264" s="692"/>
      <c r="CY264" s="692"/>
      <c r="CZ264" s="692"/>
      <c r="DA264" s="692"/>
      <c r="DB264" s="692"/>
      <c r="DC264" s="692"/>
      <c r="DD264" s="692"/>
      <c r="DE264" s="692"/>
      <c r="DF264" s="692"/>
      <c r="DG264" s="692"/>
      <c r="DH264" s="692"/>
      <c r="DI264" s="692"/>
      <c r="DJ264" s="692"/>
      <c r="DK264" s="692"/>
      <c r="DL264" s="692"/>
      <c r="DM264" s="692"/>
      <c r="DN264" s="692"/>
      <c r="DO264" s="692"/>
      <c r="DP264" s="692"/>
      <c r="DQ264" s="692"/>
      <c r="DR264" s="692"/>
      <c r="DS264" s="692"/>
      <c r="DT264" s="692"/>
      <c r="DU264" s="692"/>
      <c r="DV264" s="692"/>
      <c r="DW264" s="692"/>
      <c r="DX264" s="692"/>
      <c r="DY264" s="692"/>
      <c r="DZ264" s="692"/>
      <c r="EA264" s="692"/>
      <c r="EB264" s="692"/>
      <c r="EC264" s="692"/>
      <c r="ED264" s="692"/>
      <c r="EE264" s="692"/>
      <c r="EF264" s="692"/>
      <c r="EG264" s="692"/>
      <c r="EH264" s="692"/>
      <c r="EI264" s="692"/>
      <c r="EJ264" s="692"/>
      <c r="EK264" s="692"/>
      <c r="EL264" s="692"/>
      <c r="EM264" s="692"/>
      <c r="EN264" s="692"/>
      <c r="EO264" s="692"/>
      <c r="EP264" s="692"/>
      <c r="EQ264" s="692"/>
      <c r="ER264" s="692"/>
      <c r="ES264" s="692"/>
      <c r="ET264" s="692"/>
      <c r="EU264" s="692"/>
      <c r="EV264" s="692"/>
      <c r="EW264" s="692"/>
      <c r="EX264" s="692"/>
      <c r="EY264" s="692"/>
      <c r="EZ264" s="692"/>
      <c r="FA264" s="692"/>
      <c r="FB264" s="692"/>
      <c r="FC264" s="692"/>
      <c r="FD264" s="692"/>
      <c r="FE264" s="692"/>
      <c r="FF264" s="692"/>
      <c r="FG264" s="692"/>
      <c r="FH264" s="692"/>
      <c r="FI264" s="692"/>
      <c r="FJ264" s="692"/>
      <c r="FK264" s="692"/>
      <c r="FL264" s="692"/>
      <c r="FM264" s="692"/>
      <c r="FN264" s="692"/>
      <c r="FO264" s="692"/>
      <c r="FP264" s="692"/>
      <c r="FQ264" s="692"/>
      <c r="FR264" s="692"/>
      <c r="FS264" s="692"/>
      <c r="FT264" s="692"/>
      <c r="FU264" s="692"/>
      <c r="FV264" s="692"/>
      <c r="FW264" s="692"/>
      <c r="FX264" s="692"/>
      <c r="FY264" s="692"/>
      <c r="FZ264" s="692"/>
      <c r="GA264" s="692"/>
      <c r="GB264" s="692"/>
      <c r="GC264" s="692"/>
      <c r="GD264" s="692"/>
      <c r="GE264" s="692"/>
      <c r="GF264" s="692"/>
      <c r="GG264" s="692"/>
      <c r="GH264" s="692"/>
      <c r="GI264" s="692"/>
      <c r="GJ264" s="692"/>
      <c r="GK264" s="692"/>
      <c r="GL264" s="692"/>
      <c r="GM264" s="692"/>
      <c r="GN264" s="692"/>
      <c r="GO264" s="692"/>
      <c r="GP264" s="692"/>
      <c r="GQ264" s="692"/>
      <c r="GR264" s="692"/>
      <c r="GS264" s="692"/>
      <c r="GT264" s="692"/>
      <c r="GU264" s="692"/>
      <c r="GV264" s="692"/>
      <c r="GW264" s="692"/>
      <c r="GX264" s="692"/>
      <c r="GY264" s="692"/>
      <c r="GZ264" s="692"/>
      <c r="HA264" s="692"/>
      <c r="HB264" s="692"/>
      <c r="HC264" s="692"/>
      <c r="HD264" s="692"/>
      <c r="HE264" s="692"/>
      <c r="HF264" s="692"/>
      <c r="HG264" s="692"/>
      <c r="HH264" s="692"/>
      <c r="HI264" s="692"/>
      <c r="HJ264" s="692"/>
      <c r="HK264" s="692"/>
      <c r="HL264" s="692"/>
      <c r="HM264" s="692"/>
      <c r="HN264" s="692"/>
      <c r="HO264" s="692"/>
      <c r="HP264" s="692"/>
      <c r="HQ264" s="692"/>
      <c r="HR264" s="692"/>
      <c r="HS264" s="692"/>
      <c r="HT264" s="692"/>
      <c r="HU264" s="692"/>
      <c r="HV264" s="692"/>
      <c r="HW264" s="692"/>
      <c r="HX264" s="692"/>
      <c r="HY264" s="692"/>
      <c r="HZ264" s="692"/>
      <c r="IA264" s="692"/>
      <c r="IB264" s="692"/>
      <c r="IC264" s="692"/>
      <c r="ID264" s="692"/>
      <c r="IE264" s="692"/>
      <c r="IF264" s="692"/>
      <c r="IG264" s="692"/>
      <c r="IH264" s="692"/>
      <c r="II264" s="692"/>
      <c r="IJ264" s="692"/>
      <c r="IK264" s="692"/>
      <c r="IL264" s="692"/>
      <c r="IM264" s="692"/>
      <c r="IN264" s="692"/>
      <c r="IO264" s="692"/>
      <c r="IP264" s="692"/>
      <c r="IQ264" s="692"/>
      <c r="IR264" s="692"/>
      <c r="IS264" s="692"/>
      <c r="IT264" s="692"/>
      <c r="IU264" s="692"/>
      <c r="IV264" s="692"/>
      <c r="IW264" s="692"/>
      <c r="IX264" s="692"/>
      <c r="IY264" s="692"/>
      <c r="IZ264" s="692"/>
      <c r="JA264" s="692"/>
      <c r="JB264" s="692"/>
      <c r="JC264" s="692"/>
      <c r="JD264" s="692"/>
      <c r="JE264" s="692"/>
      <c r="JF264" s="692"/>
      <c r="JG264" s="692"/>
      <c r="JH264" s="692"/>
      <c r="JI264" s="692"/>
      <c r="JJ264" s="692"/>
      <c r="JK264" s="692"/>
      <c r="JL264" s="692"/>
      <c r="JM264" s="692"/>
      <c r="JN264" s="692"/>
      <c r="JO264" s="692"/>
      <c r="JP264" s="692"/>
      <c r="JQ264" s="692"/>
      <c r="JR264" s="692"/>
      <c r="JS264" s="692"/>
      <c r="JT264" s="692"/>
      <c r="JU264" s="692"/>
      <c r="JV264" s="692"/>
      <c r="JW264" s="692"/>
      <c r="JX264" s="692"/>
      <c r="JY264" s="692"/>
      <c r="JZ264" s="692"/>
      <c r="KA264" s="692"/>
      <c r="KB264" s="692"/>
      <c r="KC264" s="692"/>
      <c r="KD264" s="692"/>
      <c r="KE264" s="692"/>
      <c r="KF264" s="692"/>
      <c r="KG264" s="692"/>
      <c r="KH264" s="692"/>
      <c r="KI264" s="692"/>
      <c r="KJ264" s="692"/>
      <c r="KK264" s="692"/>
      <c r="KL264" s="692"/>
      <c r="KM264" s="692"/>
      <c r="KN264" s="692"/>
      <c r="KO264" s="692"/>
      <c r="KP264" s="692"/>
      <c r="KQ264" s="692"/>
      <c r="KR264" s="692"/>
      <c r="KS264" s="692"/>
      <c r="KT264" s="692"/>
      <c r="KU264" s="692"/>
      <c r="KV264" s="692"/>
      <c r="KW264" s="692"/>
      <c r="KX264" s="692"/>
      <c r="KY264" s="692"/>
      <c r="KZ264" s="692"/>
      <c r="LA264" s="692"/>
      <c r="LB264" s="692"/>
      <c r="LC264" s="692"/>
      <c r="LD264" s="692"/>
      <c r="LE264" s="692"/>
      <c r="LF264" s="692"/>
      <c r="LG264" s="692"/>
      <c r="LH264" s="692"/>
      <c r="LI264" s="692"/>
      <c r="LJ264" s="692"/>
      <c r="LK264" s="692"/>
      <c r="LL264" s="692"/>
      <c r="LM264" s="692"/>
      <c r="LN264" s="692"/>
      <c r="LO264" s="692"/>
      <c r="LP264" s="692"/>
      <c r="LQ264" s="692"/>
      <c r="LR264" s="692"/>
      <c r="LS264" s="692"/>
      <c r="LT264" s="692"/>
      <c r="LU264" s="692"/>
      <c r="LV264" s="692"/>
      <c r="LW264" s="692"/>
      <c r="LX264" s="692"/>
      <c r="LY264" s="692"/>
      <c r="LZ264" s="692"/>
      <c r="MA264" s="692"/>
      <c r="MB264" s="692"/>
      <c r="MC264" s="692"/>
      <c r="MD264" s="692"/>
      <c r="ME264" s="692"/>
      <c r="MF264" s="692"/>
      <c r="MG264" s="692"/>
      <c r="MH264" s="692"/>
      <c r="MI264" s="692"/>
      <c r="MJ264" s="692"/>
      <c r="MK264" s="692"/>
      <c r="ML264" s="692"/>
      <c r="MM264" s="692"/>
      <c r="MN264" s="692"/>
      <c r="MO264" s="692"/>
      <c r="MP264" s="692"/>
      <c r="MQ264" s="692"/>
      <c r="MR264" s="692"/>
      <c r="MS264" s="692"/>
      <c r="MT264" s="692"/>
      <c r="MU264" s="692"/>
      <c r="MV264" s="692"/>
      <c r="MW264" s="692"/>
      <c r="MX264" s="692"/>
      <c r="MY264" s="692"/>
      <c r="MZ264" s="692"/>
      <c r="NA264" s="692"/>
      <c r="NB264" s="692"/>
      <c r="NC264" s="692"/>
      <c r="ND264" s="692"/>
      <c r="NE264" s="692"/>
      <c r="NF264" s="692"/>
      <c r="NG264" s="692"/>
      <c r="NH264" s="692"/>
      <c r="NI264" s="692"/>
      <c r="NJ264" s="692"/>
      <c r="NK264" s="692"/>
      <c r="NL264" s="692"/>
      <c r="NM264" s="692"/>
      <c r="NN264" s="692"/>
      <c r="NO264" s="692"/>
      <c r="NP264" s="692"/>
      <c r="NQ264" s="692"/>
      <c r="NR264" s="692"/>
    </row>
    <row r="265" spans="1:382" ht="15.75" thickBot="1" x14ac:dyDescent="0.3">
      <c r="A265" s="680"/>
      <c r="B265" s="680" t="s">
        <v>1719</v>
      </c>
      <c r="C265" s="161">
        <f>'Conversion factors'!B13</f>
        <v>3</v>
      </c>
      <c r="D265" s="680" t="s">
        <v>1711</v>
      </c>
      <c r="E265" s="25"/>
      <c r="F265" s="203"/>
      <c r="G265" s="692"/>
      <c r="H265" s="692"/>
      <c r="I265" s="692"/>
      <c r="J265" s="692"/>
      <c r="K265" s="692"/>
      <c r="L265" s="692"/>
      <c r="M265" s="692"/>
      <c r="N265" s="692"/>
      <c r="O265" s="692"/>
      <c r="P265" s="692"/>
      <c r="Q265" s="692"/>
      <c r="R265" s="692"/>
      <c r="S265" s="692"/>
      <c r="T265" s="692"/>
      <c r="U265" s="692"/>
      <c r="V265" s="692"/>
      <c r="W265" s="692"/>
      <c r="X265" s="692"/>
      <c r="Y265" s="692"/>
      <c r="Z265" s="692"/>
      <c r="AA265" s="692"/>
      <c r="AB265" s="692"/>
      <c r="AC265" s="692"/>
      <c r="AD265" s="692"/>
      <c r="AE265" s="692"/>
      <c r="AF265" s="692"/>
      <c r="AG265" s="692"/>
      <c r="AH265" s="692"/>
      <c r="AI265" s="692"/>
      <c r="AJ265" s="692"/>
      <c r="AK265" s="692"/>
      <c r="AL265" s="692"/>
      <c r="AM265" s="692"/>
      <c r="AN265" s="692"/>
      <c r="AO265" s="692"/>
      <c r="AP265" s="692"/>
      <c r="AQ265" s="692"/>
      <c r="AR265" s="692"/>
      <c r="AS265" s="692"/>
      <c r="AT265" s="692"/>
      <c r="AU265" s="692"/>
      <c r="AV265" s="692"/>
      <c r="AW265" s="692"/>
      <c r="AX265" s="692"/>
      <c r="AY265" s="692"/>
      <c r="AZ265" s="692"/>
      <c r="BA265" s="692"/>
      <c r="BB265" s="692"/>
      <c r="BC265" s="692"/>
      <c r="BD265" s="692"/>
      <c r="BE265" s="692"/>
      <c r="BF265" s="692"/>
      <c r="BG265" s="692"/>
      <c r="BH265" s="692"/>
      <c r="BI265" s="692"/>
      <c r="BJ265" s="692"/>
      <c r="BK265" s="692"/>
      <c r="BL265" s="692"/>
      <c r="BM265" s="692"/>
      <c r="BN265" s="692"/>
      <c r="BO265" s="692"/>
      <c r="BP265" s="692"/>
      <c r="BQ265" s="692"/>
      <c r="BR265" s="692"/>
      <c r="BS265" s="692"/>
      <c r="BT265" s="692"/>
      <c r="BU265" s="692"/>
      <c r="BV265" s="692"/>
      <c r="BW265" s="692"/>
      <c r="BX265" s="692"/>
      <c r="BY265" s="692"/>
      <c r="BZ265" s="692"/>
      <c r="CA265" s="692"/>
      <c r="CB265" s="692"/>
      <c r="CC265" s="692"/>
      <c r="CD265" s="692"/>
      <c r="CE265" s="692"/>
      <c r="CF265" s="692"/>
      <c r="CG265" s="692"/>
      <c r="CH265" s="692"/>
      <c r="CI265" s="692"/>
      <c r="CJ265" s="692"/>
      <c r="CK265" s="692"/>
      <c r="CL265" s="692"/>
      <c r="CM265" s="692"/>
      <c r="CN265" s="692"/>
      <c r="CO265" s="692"/>
      <c r="CP265" s="692"/>
      <c r="CQ265" s="692"/>
      <c r="CR265" s="692"/>
      <c r="CS265" s="692"/>
      <c r="CT265" s="692"/>
      <c r="CU265" s="692"/>
      <c r="CV265" s="692"/>
      <c r="CW265" s="692"/>
      <c r="CX265" s="692"/>
      <c r="CY265" s="692"/>
      <c r="CZ265" s="692"/>
      <c r="DA265" s="692"/>
      <c r="DB265" s="692"/>
      <c r="DC265" s="692"/>
      <c r="DD265" s="692"/>
      <c r="DE265" s="692"/>
      <c r="DF265" s="692"/>
      <c r="DG265" s="692"/>
      <c r="DH265" s="692"/>
      <c r="DI265" s="692"/>
      <c r="DJ265" s="692"/>
      <c r="DK265" s="692"/>
      <c r="DL265" s="692"/>
      <c r="DM265" s="692"/>
      <c r="DN265" s="692"/>
      <c r="DO265" s="692"/>
      <c r="DP265" s="692"/>
      <c r="DQ265" s="692"/>
      <c r="DR265" s="692"/>
      <c r="DS265" s="692"/>
      <c r="DT265" s="692"/>
      <c r="DU265" s="692"/>
      <c r="DV265" s="692"/>
      <c r="DW265" s="692"/>
      <c r="DX265" s="692"/>
      <c r="DY265" s="692"/>
      <c r="DZ265" s="692"/>
      <c r="EA265" s="692"/>
      <c r="EB265" s="692"/>
      <c r="EC265" s="692"/>
      <c r="ED265" s="692"/>
      <c r="EE265" s="692"/>
      <c r="EF265" s="692"/>
      <c r="EG265" s="692"/>
      <c r="EH265" s="692"/>
      <c r="EI265" s="692"/>
      <c r="EJ265" s="692"/>
      <c r="EK265" s="692"/>
      <c r="EL265" s="692"/>
      <c r="EM265" s="692"/>
      <c r="EN265" s="692"/>
      <c r="EO265" s="692"/>
      <c r="EP265" s="692"/>
      <c r="EQ265" s="692"/>
      <c r="ER265" s="692"/>
      <c r="ES265" s="692"/>
      <c r="ET265" s="692"/>
      <c r="EU265" s="692"/>
      <c r="EV265" s="692"/>
      <c r="EW265" s="692"/>
      <c r="EX265" s="692"/>
      <c r="EY265" s="692"/>
      <c r="EZ265" s="692"/>
      <c r="FA265" s="692"/>
      <c r="FB265" s="692"/>
      <c r="FC265" s="692"/>
      <c r="FD265" s="692"/>
      <c r="FE265" s="692"/>
      <c r="FF265" s="692"/>
      <c r="FG265" s="692"/>
      <c r="FH265" s="692"/>
      <c r="FI265" s="692"/>
      <c r="FJ265" s="692"/>
      <c r="FK265" s="692"/>
      <c r="FL265" s="692"/>
      <c r="FM265" s="692"/>
      <c r="FN265" s="692"/>
      <c r="FO265" s="692"/>
      <c r="FP265" s="692"/>
      <c r="FQ265" s="692"/>
      <c r="FR265" s="692"/>
      <c r="FS265" s="692"/>
      <c r="FT265" s="692"/>
      <c r="FU265" s="692"/>
      <c r="FV265" s="692"/>
      <c r="FW265" s="692"/>
      <c r="FX265" s="692"/>
      <c r="FY265" s="692"/>
      <c r="FZ265" s="692"/>
      <c r="GA265" s="692"/>
      <c r="GB265" s="692"/>
      <c r="GC265" s="692"/>
      <c r="GD265" s="692"/>
      <c r="GE265" s="692"/>
      <c r="GF265" s="692"/>
      <c r="GG265" s="692"/>
      <c r="GH265" s="692"/>
      <c r="GI265" s="692"/>
      <c r="GJ265" s="692"/>
      <c r="GK265" s="692"/>
      <c r="GL265" s="692"/>
      <c r="GM265" s="692"/>
      <c r="GN265" s="692"/>
      <c r="GO265" s="692"/>
      <c r="GP265" s="692"/>
      <c r="GQ265" s="692"/>
      <c r="GR265" s="692"/>
      <c r="GS265" s="692"/>
      <c r="GT265" s="692"/>
      <c r="GU265" s="692"/>
      <c r="GV265" s="692"/>
      <c r="GW265" s="692"/>
      <c r="GX265" s="692"/>
      <c r="GY265" s="692"/>
      <c r="GZ265" s="692"/>
      <c r="HA265" s="692"/>
      <c r="HB265" s="692"/>
      <c r="HC265" s="692"/>
      <c r="HD265" s="692"/>
      <c r="HE265" s="692"/>
      <c r="HF265" s="692"/>
      <c r="HG265" s="692"/>
      <c r="HH265" s="692"/>
      <c r="HI265" s="692"/>
      <c r="HJ265" s="692"/>
      <c r="HK265" s="692"/>
      <c r="HL265" s="692"/>
      <c r="HM265" s="692"/>
      <c r="HN265" s="692"/>
      <c r="HO265" s="692"/>
      <c r="HP265" s="692"/>
      <c r="HQ265" s="692"/>
      <c r="HR265" s="692"/>
      <c r="HS265" s="692"/>
      <c r="HT265" s="692"/>
      <c r="HU265" s="692"/>
      <c r="HV265" s="692"/>
      <c r="HW265" s="692"/>
      <c r="HX265" s="692"/>
      <c r="HY265" s="692"/>
      <c r="HZ265" s="692"/>
      <c r="IA265" s="692"/>
      <c r="IB265" s="692"/>
      <c r="IC265" s="692"/>
      <c r="ID265" s="692"/>
      <c r="IE265" s="692"/>
      <c r="IF265" s="692"/>
      <c r="IG265" s="692"/>
      <c r="IH265" s="692"/>
      <c r="II265" s="692"/>
      <c r="IJ265" s="692"/>
      <c r="IK265" s="692"/>
      <c r="IL265" s="692"/>
      <c r="IM265" s="692"/>
      <c r="IN265" s="692"/>
      <c r="IO265" s="692"/>
      <c r="IP265" s="692"/>
      <c r="IQ265" s="692"/>
      <c r="IR265" s="692"/>
      <c r="IS265" s="692"/>
      <c r="IT265" s="692"/>
      <c r="IU265" s="692"/>
      <c r="IV265" s="692"/>
      <c r="IW265" s="692"/>
      <c r="IX265" s="692"/>
      <c r="IY265" s="692"/>
      <c r="IZ265" s="692"/>
      <c r="JA265" s="692"/>
      <c r="JB265" s="692"/>
      <c r="JC265" s="692"/>
      <c r="JD265" s="692"/>
      <c r="JE265" s="692"/>
      <c r="JF265" s="692"/>
      <c r="JG265" s="692"/>
      <c r="JH265" s="692"/>
      <c r="JI265" s="692"/>
      <c r="JJ265" s="692"/>
      <c r="JK265" s="692"/>
      <c r="JL265" s="692"/>
      <c r="JM265" s="692"/>
      <c r="JN265" s="692"/>
      <c r="JO265" s="692"/>
      <c r="JP265" s="692"/>
      <c r="JQ265" s="692"/>
      <c r="JR265" s="692"/>
      <c r="JS265" s="692"/>
      <c r="JT265" s="692"/>
      <c r="JU265" s="692"/>
      <c r="JV265" s="692"/>
      <c r="JW265" s="692"/>
      <c r="JX265" s="692"/>
      <c r="JY265" s="692"/>
      <c r="JZ265" s="692"/>
      <c r="KA265" s="692"/>
      <c r="KB265" s="692"/>
      <c r="KC265" s="692"/>
      <c r="KD265" s="692"/>
      <c r="KE265" s="692"/>
      <c r="KF265" s="692"/>
      <c r="KG265" s="692"/>
      <c r="KH265" s="692"/>
      <c r="KI265" s="692"/>
      <c r="KJ265" s="692"/>
      <c r="KK265" s="692"/>
      <c r="KL265" s="692"/>
      <c r="KM265" s="692"/>
      <c r="KN265" s="692"/>
      <c r="KO265" s="692"/>
      <c r="KP265" s="692"/>
      <c r="KQ265" s="692"/>
      <c r="KR265" s="692"/>
      <c r="KS265" s="692"/>
      <c r="KT265" s="692"/>
      <c r="KU265" s="692"/>
      <c r="KV265" s="692"/>
      <c r="KW265" s="692"/>
      <c r="KX265" s="692"/>
      <c r="KY265" s="692"/>
      <c r="KZ265" s="692"/>
      <c r="LA265" s="692"/>
      <c r="LB265" s="692"/>
      <c r="LC265" s="692"/>
      <c r="LD265" s="692"/>
      <c r="LE265" s="692"/>
      <c r="LF265" s="692"/>
      <c r="LG265" s="692"/>
      <c r="LH265" s="692"/>
      <c r="LI265" s="692"/>
      <c r="LJ265" s="692"/>
      <c r="LK265" s="692"/>
      <c r="LL265" s="692"/>
      <c r="LM265" s="692"/>
      <c r="LN265" s="692"/>
      <c r="LO265" s="692"/>
      <c r="LP265" s="692"/>
      <c r="LQ265" s="692"/>
      <c r="LR265" s="692"/>
      <c r="LS265" s="692"/>
      <c r="LT265" s="692"/>
      <c r="LU265" s="692"/>
      <c r="LV265" s="692"/>
      <c r="LW265" s="692"/>
      <c r="LX265" s="692"/>
      <c r="LY265" s="692"/>
      <c r="LZ265" s="692"/>
      <c r="MA265" s="692"/>
      <c r="MB265" s="692"/>
      <c r="MC265" s="692"/>
      <c r="MD265" s="692"/>
      <c r="ME265" s="692"/>
      <c r="MF265" s="692"/>
      <c r="MG265" s="692"/>
      <c r="MH265" s="692"/>
      <c r="MI265" s="692"/>
      <c r="MJ265" s="692"/>
      <c r="MK265" s="692"/>
      <c r="ML265" s="692"/>
      <c r="MM265" s="692"/>
      <c r="MN265" s="692"/>
      <c r="MO265" s="692"/>
      <c r="MP265" s="692"/>
      <c r="MQ265" s="692"/>
      <c r="MR265" s="692"/>
      <c r="MS265" s="692"/>
      <c r="MT265" s="692"/>
      <c r="MU265" s="692"/>
      <c r="MV265" s="692"/>
      <c r="MW265" s="692"/>
      <c r="MX265" s="692"/>
      <c r="MY265" s="692"/>
      <c r="MZ265" s="692"/>
      <c r="NA265" s="692"/>
      <c r="NB265" s="692"/>
      <c r="NC265" s="692"/>
      <c r="ND265" s="692"/>
      <c r="NE265" s="692"/>
      <c r="NF265" s="692"/>
      <c r="NG265" s="692"/>
      <c r="NH265" s="692"/>
      <c r="NI265" s="692"/>
      <c r="NJ265" s="692"/>
      <c r="NK265" s="692"/>
      <c r="NL265" s="692"/>
      <c r="NM265" s="692"/>
      <c r="NN265" s="692"/>
      <c r="NO265" s="692"/>
      <c r="NP265" s="692"/>
      <c r="NQ265" s="692"/>
      <c r="NR265" s="692"/>
    </row>
    <row r="266" spans="1:382" ht="15.75" thickBot="1" x14ac:dyDescent="0.3">
      <c r="A266" s="680"/>
      <c r="B266" s="189" t="s">
        <v>1719</v>
      </c>
      <c r="C266" s="161">
        <f>C263*C264*C265/1000</f>
        <v>0</v>
      </c>
      <c r="D266" s="680" t="s">
        <v>1575</v>
      </c>
      <c r="E266" s="25"/>
      <c r="F266" s="203"/>
      <c r="G266" s="692"/>
      <c r="H266" s="692"/>
      <c r="I266" s="692"/>
      <c r="J266" s="692"/>
      <c r="K266" s="692"/>
      <c r="L266" s="692"/>
      <c r="M266" s="692"/>
      <c r="N266" s="692"/>
      <c r="O266" s="692"/>
      <c r="P266" s="692"/>
      <c r="Q266" s="692"/>
      <c r="R266" s="692"/>
      <c r="S266" s="692"/>
      <c r="T266" s="692"/>
      <c r="U266" s="692"/>
      <c r="V266" s="692"/>
      <c r="W266" s="692"/>
      <c r="X266" s="692"/>
      <c r="Y266" s="692"/>
      <c r="Z266" s="692"/>
      <c r="AA266" s="692"/>
      <c r="AB266" s="692"/>
      <c r="AC266" s="692"/>
      <c r="AD266" s="692"/>
      <c r="AE266" s="692"/>
      <c r="AF266" s="692"/>
      <c r="AG266" s="692"/>
      <c r="AH266" s="692"/>
      <c r="AI266" s="692"/>
      <c r="AJ266" s="692"/>
      <c r="AK266" s="692"/>
      <c r="AL266" s="692"/>
      <c r="AM266" s="692"/>
      <c r="AN266" s="692"/>
      <c r="AO266" s="692"/>
      <c r="AP266" s="692"/>
      <c r="AQ266" s="692"/>
      <c r="AR266" s="692"/>
      <c r="AS266" s="692"/>
      <c r="AT266" s="692"/>
      <c r="AU266" s="692"/>
      <c r="AV266" s="692"/>
      <c r="AW266" s="692"/>
      <c r="AX266" s="692"/>
      <c r="AY266" s="692"/>
      <c r="AZ266" s="692"/>
      <c r="BA266" s="692"/>
      <c r="BB266" s="692"/>
      <c r="BC266" s="692"/>
      <c r="BD266" s="692"/>
      <c r="BE266" s="692"/>
      <c r="BF266" s="692"/>
      <c r="BG266" s="692"/>
      <c r="BH266" s="692"/>
      <c r="BI266" s="692"/>
      <c r="BJ266" s="692"/>
      <c r="BK266" s="692"/>
      <c r="BL266" s="692"/>
      <c r="BM266" s="692"/>
      <c r="BN266" s="692"/>
      <c r="BO266" s="692"/>
      <c r="BP266" s="692"/>
      <c r="BQ266" s="692"/>
      <c r="BR266" s="692"/>
      <c r="BS266" s="692"/>
      <c r="BT266" s="692"/>
      <c r="BU266" s="692"/>
      <c r="BV266" s="692"/>
      <c r="BW266" s="692"/>
      <c r="BX266" s="692"/>
      <c r="BY266" s="692"/>
      <c r="BZ266" s="692"/>
      <c r="CA266" s="692"/>
      <c r="CB266" s="692"/>
      <c r="CC266" s="692"/>
      <c r="CD266" s="692"/>
      <c r="CE266" s="692"/>
      <c r="CF266" s="692"/>
      <c r="CG266" s="692"/>
      <c r="CH266" s="692"/>
      <c r="CI266" s="692"/>
      <c r="CJ266" s="692"/>
      <c r="CK266" s="692"/>
      <c r="CL266" s="692"/>
      <c r="CM266" s="692"/>
      <c r="CN266" s="692"/>
      <c r="CO266" s="692"/>
      <c r="CP266" s="692"/>
      <c r="CQ266" s="692"/>
      <c r="CR266" s="692"/>
      <c r="CS266" s="692"/>
      <c r="CT266" s="692"/>
      <c r="CU266" s="692"/>
      <c r="CV266" s="692"/>
      <c r="CW266" s="692"/>
      <c r="CX266" s="692"/>
      <c r="CY266" s="692"/>
      <c r="CZ266" s="692"/>
      <c r="DA266" s="692"/>
      <c r="DB266" s="692"/>
      <c r="DC266" s="692"/>
      <c r="DD266" s="692"/>
      <c r="DE266" s="692"/>
      <c r="DF266" s="692"/>
      <c r="DG266" s="692"/>
      <c r="DH266" s="692"/>
      <c r="DI266" s="692"/>
      <c r="DJ266" s="692"/>
      <c r="DK266" s="692"/>
      <c r="DL266" s="692"/>
      <c r="DM266" s="692"/>
      <c r="DN266" s="692"/>
      <c r="DO266" s="692"/>
      <c r="DP266" s="692"/>
      <c r="DQ266" s="692"/>
      <c r="DR266" s="692"/>
      <c r="DS266" s="692"/>
      <c r="DT266" s="692"/>
      <c r="DU266" s="692"/>
      <c r="DV266" s="692"/>
      <c r="DW266" s="692"/>
      <c r="DX266" s="692"/>
      <c r="DY266" s="692"/>
      <c r="DZ266" s="692"/>
      <c r="EA266" s="692"/>
      <c r="EB266" s="692"/>
      <c r="EC266" s="692"/>
      <c r="ED266" s="692"/>
      <c r="EE266" s="692"/>
      <c r="EF266" s="692"/>
      <c r="EG266" s="692"/>
      <c r="EH266" s="692"/>
      <c r="EI266" s="692"/>
      <c r="EJ266" s="692"/>
      <c r="EK266" s="692"/>
      <c r="EL266" s="692"/>
      <c r="EM266" s="692"/>
      <c r="EN266" s="692"/>
      <c r="EO266" s="692"/>
      <c r="EP266" s="692"/>
      <c r="EQ266" s="692"/>
      <c r="ER266" s="692"/>
      <c r="ES266" s="692"/>
      <c r="ET266" s="692"/>
      <c r="EU266" s="692"/>
      <c r="EV266" s="692"/>
      <c r="EW266" s="692"/>
      <c r="EX266" s="692"/>
      <c r="EY266" s="692"/>
      <c r="EZ266" s="692"/>
      <c r="FA266" s="692"/>
      <c r="FB266" s="692"/>
      <c r="FC266" s="692"/>
      <c r="FD266" s="692"/>
      <c r="FE266" s="692"/>
      <c r="FF266" s="692"/>
      <c r="FG266" s="692"/>
      <c r="FH266" s="692"/>
      <c r="FI266" s="692"/>
      <c r="FJ266" s="692"/>
      <c r="FK266" s="692"/>
      <c r="FL266" s="692"/>
      <c r="FM266" s="692"/>
      <c r="FN266" s="692"/>
      <c r="FO266" s="692"/>
      <c r="FP266" s="692"/>
      <c r="FQ266" s="692"/>
      <c r="FR266" s="692"/>
      <c r="FS266" s="692"/>
      <c r="FT266" s="692"/>
      <c r="FU266" s="692"/>
      <c r="FV266" s="692"/>
      <c r="FW266" s="692"/>
      <c r="FX266" s="692"/>
      <c r="FY266" s="692"/>
      <c r="FZ266" s="692"/>
      <c r="GA266" s="692"/>
      <c r="GB266" s="692"/>
      <c r="GC266" s="692"/>
      <c r="GD266" s="692"/>
      <c r="GE266" s="692"/>
      <c r="GF266" s="692"/>
      <c r="GG266" s="692"/>
      <c r="GH266" s="692"/>
      <c r="GI266" s="692"/>
      <c r="GJ266" s="692"/>
      <c r="GK266" s="692"/>
      <c r="GL266" s="692"/>
      <c r="GM266" s="692"/>
      <c r="GN266" s="692"/>
      <c r="GO266" s="692"/>
      <c r="GP266" s="692"/>
      <c r="GQ266" s="692"/>
      <c r="GR266" s="692"/>
      <c r="GS266" s="692"/>
      <c r="GT266" s="692"/>
      <c r="GU266" s="692"/>
      <c r="GV266" s="692"/>
      <c r="GW266" s="692"/>
      <c r="GX266" s="692"/>
      <c r="GY266" s="692"/>
      <c r="GZ266" s="692"/>
      <c r="HA266" s="692"/>
      <c r="HB266" s="692"/>
      <c r="HC266" s="692"/>
      <c r="HD266" s="692"/>
      <c r="HE266" s="692"/>
      <c r="HF266" s="692"/>
      <c r="HG266" s="692"/>
      <c r="HH266" s="692"/>
      <c r="HI266" s="692"/>
      <c r="HJ266" s="692"/>
      <c r="HK266" s="692"/>
      <c r="HL266" s="692"/>
      <c r="HM266" s="692"/>
      <c r="HN266" s="692"/>
      <c r="HO266" s="692"/>
      <c r="HP266" s="692"/>
      <c r="HQ266" s="692"/>
      <c r="HR266" s="692"/>
      <c r="HS266" s="692"/>
      <c r="HT266" s="692"/>
      <c r="HU266" s="692"/>
      <c r="HV266" s="692"/>
      <c r="HW266" s="692"/>
      <c r="HX266" s="692"/>
      <c r="HY266" s="692"/>
      <c r="HZ266" s="692"/>
      <c r="IA266" s="692"/>
      <c r="IB266" s="692"/>
      <c r="IC266" s="692"/>
      <c r="ID266" s="692"/>
      <c r="IE266" s="692"/>
      <c r="IF266" s="692"/>
      <c r="IG266" s="692"/>
      <c r="IH266" s="692"/>
      <c r="II266" s="692"/>
      <c r="IJ266" s="692"/>
      <c r="IK266" s="692"/>
      <c r="IL266" s="692"/>
      <c r="IM266" s="692"/>
      <c r="IN266" s="692"/>
      <c r="IO266" s="692"/>
      <c r="IP266" s="692"/>
      <c r="IQ266" s="692"/>
      <c r="IR266" s="692"/>
      <c r="IS266" s="692"/>
      <c r="IT266" s="692"/>
      <c r="IU266" s="692"/>
      <c r="IV266" s="692"/>
      <c r="IW266" s="692"/>
      <c r="IX266" s="692"/>
      <c r="IY266" s="692"/>
      <c r="IZ266" s="692"/>
      <c r="JA266" s="692"/>
      <c r="JB266" s="692"/>
      <c r="JC266" s="692"/>
      <c r="JD266" s="692"/>
      <c r="JE266" s="692"/>
      <c r="JF266" s="692"/>
      <c r="JG266" s="692"/>
      <c r="JH266" s="692"/>
      <c r="JI266" s="692"/>
      <c r="JJ266" s="692"/>
      <c r="JK266" s="692"/>
      <c r="JL266" s="692"/>
      <c r="JM266" s="692"/>
      <c r="JN266" s="692"/>
      <c r="JO266" s="692"/>
      <c r="JP266" s="692"/>
      <c r="JQ266" s="692"/>
      <c r="JR266" s="692"/>
      <c r="JS266" s="692"/>
      <c r="JT266" s="692"/>
      <c r="JU266" s="692"/>
      <c r="JV266" s="692"/>
      <c r="JW266" s="692"/>
      <c r="JX266" s="692"/>
      <c r="JY266" s="692"/>
      <c r="JZ266" s="692"/>
      <c r="KA266" s="692"/>
      <c r="KB266" s="692"/>
      <c r="KC266" s="692"/>
      <c r="KD266" s="692"/>
      <c r="KE266" s="692"/>
      <c r="KF266" s="692"/>
      <c r="KG266" s="692"/>
      <c r="KH266" s="692"/>
      <c r="KI266" s="692"/>
      <c r="KJ266" s="692"/>
      <c r="KK266" s="692"/>
      <c r="KL266" s="692"/>
      <c r="KM266" s="692"/>
      <c r="KN266" s="692"/>
      <c r="KO266" s="692"/>
      <c r="KP266" s="692"/>
      <c r="KQ266" s="692"/>
      <c r="KR266" s="692"/>
      <c r="KS266" s="692"/>
      <c r="KT266" s="692"/>
      <c r="KU266" s="692"/>
      <c r="KV266" s="692"/>
      <c r="KW266" s="692"/>
      <c r="KX266" s="692"/>
      <c r="KY266" s="692"/>
      <c r="KZ266" s="692"/>
      <c r="LA266" s="692"/>
      <c r="LB266" s="692"/>
      <c r="LC266" s="692"/>
      <c r="LD266" s="692"/>
      <c r="LE266" s="692"/>
      <c r="LF266" s="692"/>
      <c r="LG266" s="692"/>
      <c r="LH266" s="692"/>
      <c r="LI266" s="692"/>
      <c r="LJ266" s="692"/>
      <c r="LK266" s="692"/>
      <c r="LL266" s="692"/>
      <c r="LM266" s="692"/>
      <c r="LN266" s="692"/>
      <c r="LO266" s="692"/>
      <c r="LP266" s="692"/>
      <c r="LQ266" s="692"/>
      <c r="LR266" s="692"/>
      <c r="LS266" s="692"/>
      <c r="LT266" s="692"/>
      <c r="LU266" s="692"/>
      <c r="LV266" s="692"/>
      <c r="LW266" s="692"/>
      <c r="LX266" s="692"/>
      <c r="LY266" s="692"/>
      <c r="LZ266" s="692"/>
      <c r="MA266" s="692"/>
      <c r="MB266" s="692"/>
      <c r="MC266" s="692"/>
      <c r="MD266" s="692"/>
      <c r="ME266" s="692"/>
      <c r="MF266" s="692"/>
      <c r="MG266" s="692"/>
      <c r="MH266" s="692"/>
      <c r="MI266" s="692"/>
      <c r="MJ266" s="692"/>
      <c r="MK266" s="692"/>
      <c r="ML266" s="692"/>
      <c r="MM266" s="692"/>
      <c r="MN266" s="692"/>
      <c r="MO266" s="692"/>
      <c r="MP266" s="692"/>
      <c r="MQ266" s="692"/>
      <c r="MR266" s="692"/>
      <c r="MS266" s="692"/>
      <c r="MT266" s="692"/>
      <c r="MU266" s="692"/>
      <c r="MV266" s="692"/>
      <c r="MW266" s="692"/>
      <c r="MX266" s="692"/>
      <c r="MY266" s="692"/>
      <c r="MZ266" s="692"/>
      <c r="NA266" s="692"/>
      <c r="NB266" s="692"/>
      <c r="NC266" s="692"/>
      <c r="ND266" s="692"/>
      <c r="NE266" s="692"/>
      <c r="NF266" s="692"/>
      <c r="NG266" s="692"/>
      <c r="NH266" s="692"/>
      <c r="NI266" s="692"/>
      <c r="NJ266" s="692"/>
      <c r="NK266" s="692"/>
      <c r="NL266" s="692"/>
      <c r="NM266" s="692"/>
      <c r="NN266" s="692"/>
      <c r="NO266" s="692"/>
      <c r="NP266" s="692"/>
      <c r="NQ266" s="692"/>
      <c r="NR266" s="692"/>
    </row>
    <row r="267" spans="1:382" ht="15.75" thickBot="1" x14ac:dyDescent="0.3">
      <c r="A267" s="680"/>
      <c r="B267" s="680"/>
      <c r="C267" s="408"/>
      <c r="D267" s="25"/>
      <c r="E267" s="25"/>
      <c r="F267" s="203"/>
      <c r="G267" s="692"/>
      <c r="H267" s="692"/>
      <c r="I267" s="692"/>
      <c r="J267" s="692"/>
      <c r="K267" s="692"/>
      <c r="L267" s="692"/>
      <c r="M267" s="692"/>
      <c r="N267" s="692"/>
      <c r="O267" s="692"/>
      <c r="P267" s="692"/>
      <c r="Q267" s="692"/>
      <c r="R267" s="692"/>
      <c r="S267" s="692"/>
      <c r="T267" s="692"/>
      <c r="U267" s="692"/>
      <c r="V267" s="692"/>
      <c r="W267" s="692"/>
      <c r="X267" s="692"/>
      <c r="Y267" s="692"/>
      <c r="Z267" s="692"/>
      <c r="AA267" s="692"/>
      <c r="AB267" s="692"/>
      <c r="AC267" s="692"/>
      <c r="AD267" s="692"/>
      <c r="AE267" s="692"/>
      <c r="AF267" s="692"/>
      <c r="AG267" s="692"/>
      <c r="AH267" s="692"/>
      <c r="AI267" s="692"/>
      <c r="AJ267" s="692"/>
      <c r="AK267" s="692"/>
      <c r="AL267" s="692"/>
      <c r="AM267" s="692"/>
      <c r="AN267" s="692"/>
      <c r="AO267" s="692"/>
      <c r="AP267" s="692"/>
      <c r="AQ267" s="692"/>
      <c r="AR267" s="692"/>
      <c r="AS267" s="692"/>
      <c r="AT267" s="692"/>
      <c r="AU267" s="692"/>
      <c r="AV267" s="692"/>
      <c r="AW267" s="692"/>
      <c r="AX267" s="692"/>
      <c r="AY267" s="692"/>
      <c r="AZ267" s="692"/>
      <c r="BA267" s="692"/>
      <c r="BB267" s="692"/>
      <c r="BC267" s="692"/>
      <c r="BD267" s="692"/>
      <c r="BE267" s="692"/>
      <c r="BF267" s="692"/>
      <c r="BG267" s="692"/>
      <c r="BH267" s="692"/>
      <c r="BI267" s="692"/>
      <c r="BJ267" s="692"/>
      <c r="BK267" s="692"/>
      <c r="BL267" s="692"/>
      <c r="BM267" s="692"/>
      <c r="BN267" s="692"/>
      <c r="BO267" s="692"/>
      <c r="BP267" s="692"/>
      <c r="BQ267" s="692"/>
      <c r="BR267" s="692"/>
      <c r="BS267" s="692"/>
      <c r="BT267" s="692"/>
      <c r="BU267" s="692"/>
      <c r="BV267" s="692"/>
      <c r="BW267" s="692"/>
      <c r="BX267" s="692"/>
      <c r="BY267" s="692"/>
      <c r="BZ267" s="692"/>
      <c r="CA267" s="692"/>
      <c r="CB267" s="692"/>
      <c r="CC267" s="692"/>
      <c r="CD267" s="692"/>
      <c r="CE267" s="692"/>
      <c r="CF267" s="692"/>
      <c r="CG267" s="692"/>
      <c r="CH267" s="692"/>
      <c r="CI267" s="692"/>
      <c r="CJ267" s="692"/>
      <c r="CK267" s="692"/>
      <c r="CL267" s="692"/>
      <c r="CM267" s="692"/>
      <c r="CN267" s="692"/>
      <c r="CO267" s="692"/>
      <c r="CP267" s="692"/>
      <c r="CQ267" s="692"/>
      <c r="CR267" s="692"/>
      <c r="CS267" s="692"/>
      <c r="CT267" s="692"/>
      <c r="CU267" s="692"/>
      <c r="CV267" s="692"/>
      <c r="CW267" s="692"/>
      <c r="CX267" s="692"/>
      <c r="CY267" s="692"/>
      <c r="CZ267" s="692"/>
      <c r="DA267" s="692"/>
      <c r="DB267" s="692"/>
      <c r="DC267" s="692"/>
      <c r="DD267" s="692"/>
      <c r="DE267" s="692"/>
      <c r="DF267" s="692"/>
      <c r="DG267" s="692"/>
      <c r="DH267" s="692"/>
      <c r="DI267" s="692"/>
      <c r="DJ267" s="692"/>
      <c r="DK267" s="692"/>
      <c r="DL267" s="692"/>
      <c r="DM267" s="692"/>
      <c r="DN267" s="692"/>
      <c r="DO267" s="692"/>
      <c r="DP267" s="692"/>
      <c r="DQ267" s="692"/>
      <c r="DR267" s="692"/>
      <c r="DS267" s="692"/>
      <c r="DT267" s="692"/>
      <c r="DU267" s="692"/>
      <c r="DV267" s="692"/>
      <c r="DW267" s="692"/>
      <c r="DX267" s="692"/>
      <c r="DY267" s="692"/>
      <c r="DZ267" s="692"/>
      <c r="EA267" s="692"/>
      <c r="EB267" s="692"/>
      <c r="EC267" s="692"/>
      <c r="ED267" s="692"/>
      <c r="EE267" s="692"/>
      <c r="EF267" s="692"/>
      <c r="EG267" s="692"/>
      <c r="EH267" s="692"/>
      <c r="EI267" s="692"/>
      <c r="EJ267" s="692"/>
      <c r="EK267" s="692"/>
      <c r="EL267" s="692"/>
      <c r="EM267" s="692"/>
      <c r="EN267" s="692"/>
      <c r="EO267" s="692"/>
      <c r="EP267" s="692"/>
      <c r="EQ267" s="692"/>
      <c r="ER267" s="692"/>
      <c r="ES267" s="692"/>
      <c r="ET267" s="692"/>
      <c r="EU267" s="692"/>
      <c r="EV267" s="692"/>
      <c r="EW267" s="692"/>
      <c r="EX267" s="692"/>
      <c r="EY267" s="692"/>
      <c r="EZ267" s="692"/>
      <c r="FA267" s="692"/>
      <c r="FB267" s="692"/>
      <c r="FC267" s="692"/>
      <c r="FD267" s="692"/>
      <c r="FE267" s="692"/>
      <c r="FF267" s="692"/>
      <c r="FG267" s="692"/>
      <c r="FH267" s="692"/>
      <c r="FI267" s="692"/>
      <c r="FJ267" s="692"/>
      <c r="FK267" s="692"/>
      <c r="FL267" s="692"/>
      <c r="FM267" s="692"/>
      <c r="FN267" s="692"/>
      <c r="FO267" s="692"/>
      <c r="FP267" s="692"/>
      <c r="FQ267" s="692"/>
      <c r="FR267" s="692"/>
      <c r="FS267" s="692"/>
      <c r="FT267" s="692"/>
      <c r="FU267" s="692"/>
      <c r="FV267" s="692"/>
      <c r="FW267" s="692"/>
      <c r="FX267" s="692"/>
      <c r="FY267" s="692"/>
      <c r="FZ267" s="692"/>
      <c r="GA267" s="692"/>
      <c r="GB267" s="692"/>
      <c r="GC267" s="692"/>
      <c r="GD267" s="692"/>
      <c r="GE267" s="692"/>
      <c r="GF267" s="692"/>
      <c r="GG267" s="692"/>
      <c r="GH267" s="692"/>
      <c r="GI267" s="692"/>
      <c r="GJ267" s="692"/>
      <c r="GK267" s="692"/>
      <c r="GL267" s="692"/>
      <c r="GM267" s="692"/>
      <c r="GN267" s="692"/>
      <c r="GO267" s="692"/>
      <c r="GP267" s="692"/>
      <c r="GQ267" s="692"/>
      <c r="GR267" s="692"/>
      <c r="GS267" s="692"/>
      <c r="GT267" s="692"/>
      <c r="GU267" s="692"/>
      <c r="GV267" s="692"/>
      <c r="GW267" s="692"/>
      <c r="GX267" s="692"/>
      <c r="GY267" s="692"/>
      <c r="GZ267" s="692"/>
      <c r="HA267" s="692"/>
      <c r="HB267" s="692"/>
      <c r="HC267" s="692"/>
      <c r="HD267" s="692"/>
      <c r="HE267" s="692"/>
      <c r="HF267" s="692"/>
      <c r="HG267" s="692"/>
      <c r="HH267" s="692"/>
      <c r="HI267" s="692"/>
      <c r="HJ267" s="692"/>
      <c r="HK267" s="692"/>
      <c r="HL267" s="692"/>
      <c r="HM267" s="692"/>
      <c r="HN267" s="692"/>
      <c r="HO267" s="692"/>
      <c r="HP267" s="692"/>
      <c r="HQ267" s="692"/>
      <c r="HR267" s="692"/>
      <c r="HS267" s="692"/>
      <c r="HT267" s="692"/>
      <c r="HU267" s="692"/>
      <c r="HV267" s="692"/>
      <c r="HW267" s="692"/>
      <c r="HX267" s="692"/>
      <c r="HY267" s="692"/>
      <c r="HZ267" s="692"/>
      <c r="IA267" s="692"/>
      <c r="IB267" s="692"/>
      <c r="IC267" s="692"/>
      <c r="ID267" s="692"/>
      <c r="IE267" s="692"/>
      <c r="IF267" s="692"/>
      <c r="IG267" s="692"/>
      <c r="IH267" s="692"/>
      <c r="II267" s="692"/>
      <c r="IJ267" s="692"/>
      <c r="IK267" s="692"/>
      <c r="IL267" s="692"/>
      <c r="IM267" s="692"/>
      <c r="IN267" s="692"/>
      <c r="IO267" s="692"/>
      <c r="IP267" s="692"/>
      <c r="IQ267" s="692"/>
      <c r="IR267" s="692"/>
      <c r="IS267" s="692"/>
      <c r="IT267" s="692"/>
      <c r="IU267" s="692"/>
      <c r="IV267" s="692"/>
      <c r="IW267" s="692"/>
      <c r="IX267" s="692"/>
      <c r="IY267" s="692"/>
      <c r="IZ267" s="692"/>
      <c r="JA267" s="692"/>
      <c r="JB267" s="692"/>
      <c r="JC267" s="692"/>
      <c r="JD267" s="692"/>
      <c r="JE267" s="692"/>
      <c r="JF267" s="692"/>
      <c r="JG267" s="692"/>
      <c r="JH267" s="692"/>
      <c r="JI267" s="692"/>
      <c r="JJ267" s="692"/>
      <c r="JK267" s="692"/>
      <c r="JL267" s="692"/>
      <c r="JM267" s="692"/>
      <c r="JN267" s="692"/>
      <c r="JO267" s="692"/>
      <c r="JP267" s="692"/>
      <c r="JQ267" s="692"/>
      <c r="JR267" s="692"/>
      <c r="JS267" s="692"/>
      <c r="JT267" s="692"/>
      <c r="JU267" s="692"/>
      <c r="JV267" s="692"/>
      <c r="JW267" s="692"/>
      <c r="JX267" s="692"/>
      <c r="JY267" s="692"/>
      <c r="JZ267" s="692"/>
      <c r="KA267" s="692"/>
      <c r="KB267" s="692"/>
      <c r="KC267" s="692"/>
      <c r="KD267" s="692"/>
      <c r="KE267" s="692"/>
      <c r="KF267" s="692"/>
      <c r="KG267" s="692"/>
      <c r="KH267" s="692"/>
      <c r="KI267" s="692"/>
      <c r="KJ267" s="692"/>
      <c r="KK267" s="692"/>
      <c r="KL267" s="692"/>
      <c r="KM267" s="692"/>
      <c r="KN267" s="692"/>
      <c r="KO267" s="692"/>
      <c r="KP267" s="692"/>
      <c r="KQ267" s="692"/>
      <c r="KR267" s="692"/>
      <c r="KS267" s="692"/>
      <c r="KT267" s="692"/>
      <c r="KU267" s="692"/>
      <c r="KV267" s="692"/>
      <c r="KW267" s="692"/>
      <c r="KX267" s="692"/>
      <c r="KY267" s="692"/>
      <c r="KZ267" s="692"/>
      <c r="LA267" s="692"/>
      <c r="LB267" s="692"/>
      <c r="LC267" s="692"/>
      <c r="LD267" s="692"/>
      <c r="LE267" s="692"/>
      <c r="LF267" s="692"/>
      <c r="LG267" s="692"/>
      <c r="LH267" s="692"/>
      <c r="LI267" s="692"/>
      <c r="LJ267" s="692"/>
      <c r="LK267" s="692"/>
      <c r="LL267" s="692"/>
      <c r="LM267" s="692"/>
      <c r="LN267" s="692"/>
      <c r="LO267" s="692"/>
      <c r="LP267" s="692"/>
      <c r="LQ267" s="692"/>
      <c r="LR267" s="692"/>
      <c r="LS267" s="692"/>
      <c r="LT267" s="692"/>
      <c r="LU267" s="692"/>
      <c r="LV267" s="692"/>
      <c r="LW267" s="692"/>
      <c r="LX267" s="692"/>
      <c r="LY267" s="692"/>
      <c r="LZ267" s="692"/>
      <c r="MA267" s="692"/>
      <c r="MB267" s="692"/>
      <c r="MC267" s="692"/>
      <c r="MD267" s="692"/>
      <c r="ME267" s="692"/>
      <c r="MF267" s="692"/>
      <c r="MG267" s="692"/>
      <c r="MH267" s="692"/>
      <c r="MI267" s="692"/>
      <c r="MJ267" s="692"/>
      <c r="MK267" s="692"/>
      <c r="ML267" s="692"/>
      <c r="MM267" s="692"/>
      <c r="MN267" s="692"/>
      <c r="MO267" s="692"/>
      <c r="MP267" s="692"/>
      <c r="MQ267" s="692"/>
      <c r="MR267" s="692"/>
      <c r="MS267" s="692"/>
      <c r="MT267" s="692"/>
      <c r="MU267" s="692"/>
      <c r="MV267" s="692"/>
      <c r="MW267" s="692"/>
      <c r="MX267" s="692"/>
      <c r="MY267" s="692"/>
      <c r="MZ267" s="692"/>
      <c r="NA267" s="692"/>
      <c r="NB267" s="692"/>
      <c r="NC267" s="692"/>
      <c r="ND267" s="692"/>
      <c r="NE267" s="692"/>
      <c r="NF267" s="692"/>
      <c r="NG267" s="692"/>
      <c r="NH267" s="692"/>
      <c r="NI267" s="692"/>
      <c r="NJ267" s="692"/>
      <c r="NK267" s="692"/>
      <c r="NL267" s="692"/>
      <c r="NM267" s="692"/>
      <c r="NN267" s="692"/>
      <c r="NO267" s="692"/>
      <c r="NP267" s="692"/>
      <c r="NQ267" s="692"/>
      <c r="NR267" s="692"/>
    </row>
    <row r="268" spans="1:382" ht="15.75" thickBot="1" x14ac:dyDescent="0.3">
      <c r="A268" s="680"/>
      <c r="B268" s="680" t="s">
        <v>1075</v>
      </c>
      <c r="C268" s="422">
        <f>'Input Data'!$E$306</f>
        <v>0</v>
      </c>
      <c r="D268" s="680" t="s">
        <v>1071</v>
      </c>
      <c r="E268" s="25"/>
      <c r="F268" s="203"/>
      <c r="G268" s="692"/>
      <c r="H268" s="692"/>
      <c r="I268" s="692"/>
      <c r="J268" s="692"/>
      <c r="K268" s="692"/>
      <c r="L268" s="692"/>
      <c r="M268" s="692"/>
      <c r="N268" s="692"/>
      <c r="O268" s="692"/>
      <c r="P268" s="692"/>
      <c r="Q268" s="692"/>
      <c r="R268" s="692"/>
      <c r="S268" s="692"/>
      <c r="T268" s="692"/>
      <c r="U268" s="692"/>
      <c r="V268" s="692"/>
      <c r="W268" s="692"/>
      <c r="X268" s="692"/>
      <c r="Y268" s="692"/>
      <c r="Z268" s="692"/>
      <c r="AA268" s="692"/>
      <c r="AB268" s="692"/>
      <c r="AC268" s="692"/>
      <c r="AD268" s="692"/>
      <c r="AE268" s="692"/>
      <c r="AF268" s="692"/>
      <c r="AG268" s="692"/>
      <c r="AH268" s="692"/>
      <c r="AI268" s="692"/>
      <c r="AJ268" s="692"/>
      <c r="AK268" s="692"/>
      <c r="AL268" s="692"/>
      <c r="AM268" s="692"/>
      <c r="AN268" s="692"/>
      <c r="AO268" s="692"/>
      <c r="AP268" s="692"/>
      <c r="AQ268" s="692"/>
      <c r="AR268" s="692"/>
      <c r="AS268" s="692"/>
      <c r="AT268" s="692"/>
      <c r="AU268" s="692"/>
      <c r="AV268" s="692"/>
      <c r="AW268" s="692"/>
      <c r="AX268" s="692"/>
      <c r="AY268" s="692"/>
      <c r="AZ268" s="692"/>
      <c r="BA268" s="692"/>
      <c r="BB268" s="692"/>
      <c r="BC268" s="692"/>
      <c r="BD268" s="692"/>
      <c r="BE268" s="692"/>
      <c r="BF268" s="692"/>
      <c r="BG268" s="692"/>
      <c r="BH268" s="692"/>
      <c r="BI268" s="692"/>
      <c r="BJ268" s="692"/>
      <c r="BK268" s="692"/>
      <c r="BL268" s="692"/>
      <c r="BM268" s="692"/>
      <c r="BN268" s="692"/>
      <c r="BO268" s="692"/>
      <c r="BP268" s="692"/>
      <c r="BQ268" s="692"/>
      <c r="BR268" s="692"/>
      <c r="BS268" s="692"/>
      <c r="BT268" s="692"/>
      <c r="BU268" s="692"/>
      <c r="BV268" s="692"/>
      <c r="BW268" s="692"/>
      <c r="BX268" s="692"/>
      <c r="BY268" s="692"/>
      <c r="BZ268" s="692"/>
      <c r="CA268" s="692"/>
      <c r="CB268" s="692"/>
      <c r="CC268" s="692"/>
      <c r="CD268" s="692"/>
      <c r="CE268" s="692"/>
      <c r="CF268" s="692"/>
      <c r="CG268" s="692"/>
      <c r="CH268" s="692"/>
      <c r="CI268" s="692"/>
      <c r="CJ268" s="692"/>
      <c r="CK268" s="692"/>
      <c r="CL268" s="692"/>
      <c r="CM268" s="692"/>
      <c r="CN268" s="692"/>
      <c r="CO268" s="692"/>
      <c r="CP268" s="692"/>
      <c r="CQ268" s="692"/>
      <c r="CR268" s="692"/>
      <c r="CS268" s="692"/>
      <c r="CT268" s="692"/>
      <c r="CU268" s="692"/>
      <c r="CV268" s="692"/>
      <c r="CW268" s="692"/>
      <c r="CX268" s="692"/>
      <c r="CY268" s="692"/>
      <c r="CZ268" s="692"/>
      <c r="DA268" s="692"/>
      <c r="DB268" s="692"/>
      <c r="DC268" s="692"/>
      <c r="DD268" s="692"/>
      <c r="DE268" s="692"/>
      <c r="DF268" s="692"/>
      <c r="DG268" s="692"/>
      <c r="DH268" s="692"/>
      <c r="DI268" s="692"/>
      <c r="DJ268" s="692"/>
      <c r="DK268" s="692"/>
      <c r="DL268" s="692"/>
      <c r="DM268" s="692"/>
      <c r="DN268" s="692"/>
      <c r="DO268" s="692"/>
      <c r="DP268" s="692"/>
      <c r="DQ268" s="692"/>
      <c r="DR268" s="692"/>
      <c r="DS268" s="692"/>
      <c r="DT268" s="692"/>
      <c r="DU268" s="692"/>
      <c r="DV268" s="692"/>
      <c r="DW268" s="692"/>
      <c r="DX268" s="692"/>
      <c r="DY268" s="692"/>
      <c r="DZ268" s="692"/>
      <c r="EA268" s="692"/>
      <c r="EB268" s="692"/>
      <c r="EC268" s="692"/>
      <c r="ED268" s="692"/>
      <c r="EE268" s="692"/>
      <c r="EF268" s="692"/>
      <c r="EG268" s="692"/>
      <c r="EH268" s="692"/>
      <c r="EI268" s="692"/>
      <c r="EJ268" s="692"/>
      <c r="EK268" s="692"/>
      <c r="EL268" s="692"/>
      <c r="EM268" s="692"/>
      <c r="EN268" s="692"/>
      <c r="EO268" s="692"/>
      <c r="EP268" s="692"/>
      <c r="EQ268" s="692"/>
      <c r="ER268" s="692"/>
      <c r="ES268" s="692"/>
      <c r="ET268" s="692"/>
      <c r="EU268" s="692"/>
      <c r="EV268" s="692"/>
      <c r="EW268" s="692"/>
      <c r="EX268" s="692"/>
      <c r="EY268" s="692"/>
      <c r="EZ268" s="692"/>
      <c r="FA268" s="692"/>
      <c r="FB268" s="692"/>
      <c r="FC268" s="692"/>
      <c r="FD268" s="692"/>
      <c r="FE268" s="692"/>
      <c r="FF268" s="692"/>
      <c r="FG268" s="692"/>
      <c r="FH268" s="692"/>
      <c r="FI268" s="692"/>
      <c r="FJ268" s="692"/>
      <c r="FK268" s="692"/>
      <c r="FL268" s="692"/>
      <c r="FM268" s="692"/>
      <c r="FN268" s="692"/>
      <c r="FO268" s="692"/>
      <c r="FP268" s="692"/>
      <c r="FQ268" s="692"/>
      <c r="FR268" s="692"/>
      <c r="FS268" s="692"/>
      <c r="FT268" s="692"/>
      <c r="FU268" s="692"/>
      <c r="FV268" s="692"/>
      <c r="FW268" s="692"/>
      <c r="FX268" s="692"/>
      <c r="FY268" s="692"/>
      <c r="FZ268" s="692"/>
      <c r="GA268" s="692"/>
      <c r="GB268" s="692"/>
      <c r="GC268" s="692"/>
      <c r="GD268" s="692"/>
      <c r="GE268" s="692"/>
      <c r="GF268" s="692"/>
      <c r="GG268" s="692"/>
      <c r="GH268" s="692"/>
      <c r="GI268" s="692"/>
      <c r="GJ268" s="692"/>
      <c r="GK268" s="692"/>
      <c r="GL268" s="692"/>
      <c r="GM268" s="692"/>
      <c r="GN268" s="692"/>
      <c r="GO268" s="692"/>
      <c r="GP268" s="692"/>
      <c r="GQ268" s="692"/>
      <c r="GR268" s="692"/>
      <c r="GS268" s="692"/>
      <c r="GT268" s="692"/>
      <c r="GU268" s="692"/>
      <c r="GV268" s="692"/>
      <c r="GW268" s="692"/>
      <c r="GX268" s="692"/>
      <c r="GY268" s="692"/>
      <c r="GZ268" s="692"/>
      <c r="HA268" s="692"/>
      <c r="HB268" s="692"/>
      <c r="HC268" s="692"/>
      <c r="HD268" s="692"/>
      <c r="HE268" s="692"/>
      <c r="HF268" s="692"/>
      <c r="HG268" s="692"/>
      <c r="HH268" s="692"/>
      <c r="HI268" s="692"/>
      <c r="HJ268" s="692"/>
      <c r="HK268" s="692"/>
      <c r="HL268" s="692"/>
      <c r="HM268" s="692"/>
      <c r="HN268" s="692"/>
      <c r="HO268" s="692"/>
      <c r="HP268" s="692"/>
      <c r="HQ268" s="692"/>
      <c r="HR268" s="692"/>
      <c r="HS268" s="692"/>
      <c r="HT268" s="692"/>
      <c r="HU268" s="692"/>
      <c r="HV268" s="692"/>
      <c r="HW268" s="692"/>
      <c r="HX268" s="692"/>
      <c r="HY268" s="692"/>
      <c r="HZ268" s="692"/>
      <c r="IA268" s="692"/>
      <c r="IB268" s="692"/>
      <c r="IC268" s="692"/>
      <c r="ID268" s="692"/>
      <c r="IE268" s="692"/>
      <c r="IF268" s="692"/>
      <c r="IG268" s="692"/>
      <c r="IH268" s="692"/>
      <c r="II268" s="692"/>
      <c r="IJ268" s="692"/>
      <c r="IK268" s="692"/>
      <c r="IL268" s="692"/>
      <c r="IM268" s="692"/>
      <c r="IN268" s="692"/>
      <c r="IO268" s="692"/>
      <c r="IP268" s="692"/>
      <c r="IQ268" s="692"/>
      <c r="IR268" s="692"/>
      <c r="IS268" s="692"/>
      <c r="IT268" s="692"/>
      <c r="IU268" s="692"/>
      <c r="IV268" s="692"/>
      <c r="IW268" s="692"/>
      <c r="IX268" s="692"/>
      <c r="IY268" s="692"/>
      <c r="IZ268" s="692"/>
      <c r="JA268" s="692"/>
      <c r="JB268" s="692"/>
      <c r="JC268" s="692"/>
      <c r="JD268" s="692"/>
      <c r="JE268" s="692"/>
      <c r="JF268" s="692"/>
      <c r="JG268" s="692"/>
      <c r="JH268" s="692"/>
      <c r="JI268" s="692"/>
      <c r="JJ268" s="692"/>
      <c r="JK268" s="692"/>
      <c r="JL268" s="692"/>
      <c r="JM268" s="692"/>
      <c r="JN268" s="692"/>
      <c r="JO268" s="692"/>
      <c r="JP268" s="692"/>
      <c r="JQ268" s="692"/>
      <c r="JR268" s="692"/>
      <c r="JS268" s="692"/>
      <c r="JT268" s="692"/>
      <c r="JU268" s="692"/>
      <c r="JV268" s="692"/>
      <c r="JW268" s="692"/>
      <c r="JX268" s="692"/>
      <c r="JY268" s="692"/>
      <c r="JZ268" s="692"/>
      <c r="KA268" s="692"/>
      <c r="KB268" s="692"/>
      <c r="KC268" s="692"/>
      <c r="KD268" s="692"/>
      <c r="KE268" s="692"/>
      <c r="KF268" s="692"/>
      <c r="KG268" s="692"/>
      <c r="KH268" s="692"/>
      <c r="KI268" s="692"/>
      <c r="KJ268" s="692"/>
      <c r="KK268" s="692"/>
      <c r="KL268" s="692"/>
      <c r="KM268" s="692"/>
      <c r="KN268" s="692"/>
      <c r="KO268" s="692"/>
      <c r="KP268" s="692"/>
      <c r="KQ268" s="692"/>
      <c r="KR268" s="692"/>
      <c r="KS268" s="692"/>
      <c r="KT268" s="692"/>
      <c r="KU268" s="692"/>
      <c r="KV268" s="692"/>
      <c r="KW268" s="692"/>
      <c r="KX268" s="692"/>
      <c r="KY268" s="692"/>
      <c r="KZ268" s="692"/>
      <c r="LA268" s="692"/>
      <c r="LB268" s="692"/>
      <c r="LC268" s="692"/>
      <c r="LD268" s="692"/>
      <c r="LE268" s="692"/>
      <c r="LF268" s="692"/>
      <c r="LG268" s="692"/>
      <c r="LH268" s="692"/>
      <c r="LI268" s="692"/>
      <c r="LJ268" s="692"/>
      <c r="LK268" s="692"/>
      <c r="LL268" s="692"/>
      <c r="LM268" s="692"/>
      <c r="LN268" s="692"/>
      <c r="LO268" s="692"/>
      <c r="LP268" s="692"/>
      <c r="LQ268" s="692"/>
      <c r="LR268" s="692"/>
      <c r="LS268" s="692"/>
      <c r="LT268" s="692"/>
      <c r="LU268" s="692"/>
      <c r="LV268" s="692"/>
      <c r="LW268" s="692"/>
      <c r="LX268" s="692"/>
      <c r="LY268" s="692"/>
      <c r="LZ268" s="692"/>
      <c r="MA268" s="692"/>
      <c r="MB268" s="692"/>
      <c r="MC268" s="692"/>
      <c r="MD268" s="692"/>
      <c r="ME268" s="692"/>
      <c r="MF268" s="692"/>
      <c r="MG268" s="692"/>
      <c r="MH268" s="692"/>
      <c r="MI268" s="692"/>
      <c r="MJ268" s="692"/>
      <c r="MK268" s="692"/>
      <c r="ML268" s="692"/>
      <c r="MM268" s="692"/>
      <c r="MN268" s="692"/>
      <c r="MO268" s="692"/>
      <c r="MP268" s="692"/>
      <c r="MQ268" s="692"/>
      <c r="MR268" s="692"/>
      <c r="MS268" s="692"/>
      <c r="MT268" s="692"/>
      <c r="MU268" s="692"/>
      <c r="MV268" s="692"/>
      <c r="MW268" s="692"/>
      <c r="MX268" s="692"/>
      <c r="MY268" s="692"/>
      <c r="MZ268" s="692"/>
      <c r="NA268" s="692"/>
      <c r="NB268" s="692"/>
      <c r="NC268" s="692"/>
      <c r="ND268" s="692"/>
      <c r="NE268" s="692"/>
      <c r="NF268" s="692"/>
      <c r="NG268" s="692"/>
      <c r="NH268" s="692"/>
      <c r="NI268" s="692"/>
      <c r="NJ268" s="692"/>
      <c r="NK268" s="692"/>
      <c r="NL268" s="692"/>
      <c r="NM268" s="692"/>
      <c r="NN268" s="692"/>
      <c r="NO268" s="692"/>
      <c r="NP268" s="692"/>
      <c r="NQ268" s="692"/>
      <c r="NR268" s="692"/>
    </row>
    <row r="269" spans="1:382" ht="15.75" thickBot="1" x14ac:dyDescent="0.3">
      <c r="A269" s="680"/>
      <c r="B269" s="47" t="s">
        <v>1321</v>
      </c>
      <c r="C269" s="696">
        <f>'Input Data'!E15</f>
        <v>0</v>
      </c>
      <c r="D269" s="680" t="s">
        <v>367</v>
      </c>
      <c r="E269" s="25"/>
      <c r="F269" s="203"/>
      <c r="G269" s="692"/>
      <c r="H269" s="692"/>
      <c r="I269" s="692"/>
      <c r="J269" s="692"/>
      <c r="K269" s="692"/>
      <c r="L269" s="692"/>
      <c r="M269" s="692"/>
      <c r="N269" s="692"/>
      <c r="O269" s="692"/>
      <c r="P269" s="692"/>
      <c r="Q269" s="692"/>
      <c r="R269" s="692"/>
      <c r="S269" s="692"/>
      <c r="T269" s="692"/>
      <c r="U269" s="692"/>
      <c r="V269" s="692"/>
      <c r="W269" s="692"/>
      <c r="X269" s="692"/>
      <c r="Y269" s="692"/>
      <c r="Z269" s="692"/>
      <c r="AA269" s="692"/>
      <c r="AB269" s="692"/>
      <c r="AC269" s="692"/>
      <c r="AD269" s="692"/>
      <c r="AE269" s="692"/>
      <c r="AF269" s="692"/>
      <c r="AG269" s="692"/>
      <c r="AH269" s="692"/>
      <c r="AI269" s="692"/>
      <c r="AJ269" s="692"/>
      <c r="AK269" s="692"/>
      <c r="AL269" s="692"/>
      <c r="AM269" s="692"/>
      <c r="AN269" s="692"/>
      <c r="AO269" s="692"/>
      <c r="AP269" s="692"/>
      <c r="AQ269" s="692"/>
      <c r="AR269" s="692"/>
      <c r="AS269" s="692"/>
      <c r="AT269" s="692"/>
      <c r="AU269" s="692"/>
      <c r="AV269" s="692"/>
      <c r="AW269" s="692"/>
      <c r="AX269" s="692"/>
      <c r="AY269" s="692"/>
      <c r="AZ269" s="692"/>
      <c r="BA269" s="692"/>
      <c r="BB269" s="692"/>
      <c r="BC269" s="692"/>
      <c r="BD269" s="692"/>
      <c r="BE269" s="692"/>
      <c r="BF269" s="692"/>
      <c r="BG269" s="692"/>
      <c r="BH269" s="692"/>
      <c r="BI269" s="692"/>
      <c r="BJ269" s="692"/>
      <c r="BK269" s="692"/>
      <c r="BL269" s="692"/>
      <c r="BM269" s="692"/>
      <c r="BN269" s="692"/>
      <c r="BO269" s="692"/>
      <c r="BP269" s="692"/>
      <c r="BQ269" s="692"/>
      <c r="BR269" s="692"/>
      <c r="BS269" s="692"/>
      <c r="BT269" s="692"/>
      <c r="BU269" s="692"/>
      <c r="BV269" s="692"/>
      <c r="BW269" s="692"/>
      <c r="BX269" s="692"/>
      <c r="BY269" s="692"/>
      <c r="BZ269" s="692"/>
      <c r="CA269" s="692"/>
      <c r="CB269" s="692"/>
      <c r="CC269" s="692"/>
      <c r="CD269" s="692"/>
      <c r="CE269" s="692"/>
      <c r="CF269" s="692"/>
      <c r="CG269" s="692"/>
      <c r="CH269" s="692"/>
      <c r="CI269" s="692"/>
      <c r="CJ269" s="692"/>
      <c r="CK269" s="692"/>
      <c r="CL269" s="692"/>
      <c r="CM269" s="692"/>
      <c r="CN269" s="692"/>
      <c r="CO269" s="692"/>
      <c r="CP269" s="692"/>
      <c r="CQ269" s="692"/>
      <c r="CR269" s="692"/>
      <c r="CS269" s="692"/>
      <c r="CT269" s="692"/>
      <c r="CU269" s="692"/>
      <c r="CV269" s="692"/>
      <c r="CW269" s="692"/>
      <c r="CX269" s="692"/>
      <c r="CY269" s="692"/>
      <c r="CZ269" s="692"/>
      <c r="DA269" s="692"/>
      <c r="DB269" s="692"/>
      <c r="DC269" s="692"/>
      <c r="DD269" s="692"/>
      <c r="DE269" s="692"/>
      <c r="DF269" s="692"/>
      <c r="DG269" s="692"/>
      <c r="DH269" s="692"/>
      <c r="DI269" s="692"/>
      <c r="DJ269" s="692"/>
      <c r="DK269" s="692"/>
      <c r="DL269" s="692"/>
      <c r="DM269" s="692"/>
      <c r="DN269" s="692"/>
      <c r="DO269" s="692"/>
      <c r="DP269" s="692"/>
      <c r="DQ269" s="692"/>
      <c r="DR269" s="692"/>
      <c r="DS269" s="692"/>
      <c r="DT269" s="692"/>
      <c r="DU269" s="692"/>
      <c r="DV269" s="692"/>
      <c r="DW269" s="692"/>
      <c r="DX269" s="692"/>
      <c r="DY269" s="692"/>
      <c r="DZ269" s="692"/>
      <c r="EA269" s="692"/>
      <c r="EB269" s="692"/>
      <c r="EC269" s="692"/>
      <c r="ED269" s="692"/>
      <c r="EE269" s="692"/>
      <c r="EF269" s="692"/>
      <c r="EG269" s="692"/>
      <c r="EH269" s="692"/>
      <c r="EI269" s="692"/>
      <c r="EJ269" s="692"/>
      <c r="EK269" s="692"/>
      <c r="EL269" s="692"/>
      <c r="EM269" s="692"/>
      <c r="EN269" s="692"/>
      <c r="EO269" s="692"/>
      <c r="EP269" s="692"/>
      <c r="EQ269" s="692"/>
      <c r="ER269" s="692"/>
      <c r="ES269" s="692"/>
      <c r="ET269" s="692"/>
      <c r="EU269" s="692"/>
      <c r="EV269" s="692"/>
      <c r="EW269" s="692"/>
      <c r="EX269" s="692"/>
      <c r="EY269" s="692"/>
      <c r="EZ269" s="692"/>
      <c r="FA269" s="692"/>
      <c r="FB269" s="692"/>
      <c r="FC269" s="692"/>
      <c r="FD269" s="692"/>
      <c r="FE269" s="692"/>
      <c r="FF269" s="692"/>
      <c r="FG269" s="692"/>
      <c r="FH269" s="692"/>
      <c r="FI269" s="692"/>
      <c r="FJ269" s="692"/>
      <c r="FK269" s="692"/>
      <c r="FL269" s="692"/>
      <c r="FM269" s="692"/>
      <c r="FN269" s="692"/>
      <c r="FO269" s="692"/>
      <c r="FP269" s="692"/>
      <c r="FQ269" s="692"/>
      <c r="FR269" s="692"/>
      <c r="FS269" s="692"/>
      <c r="FT269" s="692"/>
      <c r="FU269" s="692"/>
      <c r="FV269" s="692"/>
      <c r="FW269" s="692"/>
      <c r="FX269" s="692"/>
      <c r="FY269" s="692"/>
      <c r="FZ269" s="692"/>
      <c r="GA269" s="692"/>
      <c r="GB269" s="692"/>
      <c r="GC269" s="692"/>
      <c r="GD269" s="692"/>
      <c r="GE269" s="692"/>
      <c r="GF269" s="692"/>
      <c r="GG269" s="692"/>
      <c r="GH269" s="692"/>
      <c r="GI269" s="692"/>
      <c r="GJ269" s="692"/>
      <c r="GK269" s="692"/>
      <c r="GL269" s="692"/>
      <c r="GM269" s="692"/>
      <c r="GN269" s="692"/>
      <c r="GO269" s="692"/>
      <c r="GP269" s="692"/>
      <c r="GQ269" s="692"/>
      <c r="GR269" s="692"/>
      <c r="GS269" s="692"/>
      <c r="GT269" s="692"/>
      <c r="GU269" s="692"/>
      <c r="GV269" s="692"/>
      <c r="GW269" s="692"/>
      <c r="GX269" s="692"/>
      <c r="GY269" s="692"/>
      <c r="GZ269" s="692"/>
      <c r="HA269" s="692"/>
      <c r="HB269" s="692"/>
      <c r="HC269" s="692"/>
      <c r="HD269" s="692"/>
      <c r="HE269" s="692"/>
      <c r="HF269" s="692"/>
      <c r="HG269" s="692"/>
      <c r="HH269" s="692"/>
      <c r="HI269" s="692"/>
      <c r="HJ269" s="692"/>
      <c r="HK269" s="692"/>
      <c r="HL269" s="692"/>
      <c r="HM269" s="692"/>
      <c r="HN269" s="692"/>
      <c r="HO269" s="692"/>
      <c r="HP269" s="692"/>
      <c r="HQ269" s="692"/>
      <c r="HR269" s="692"/>
      <c r="HS269" s="692"/>
      <c r="HT269" s="692"/>
      <c r="HU269" s="692"/>
      <c r="HV269" s="692"/>
      <c r="HW269" s="692"/>
      <c r="HX269" s="692"/>
      <c r="HY269" s="692"/>
      <c r="HZ269" s="692"/>
      <c r="IA269" s="692"/>
      <c r="IB269" s="692"/>
      <c r="IC269" s="692"/>
      <c r="ID269" s="692"/>
      <c r="IE269" s="692"/>
      <c r="IF269" s="692"/>
      <c r="IG269" s="692"/>
      <c r="IH269" s="692"/>
      <c r="II269" s="692"/>
      <c r="IJ269" s="692"/>
      <c r="IK269" s="692"/>
      <c r="IL269" s="692"/>
      <c r="IM269" s="692"/>
      <c r="IN269" s="692"/>
      <c r="IO269" s="692"/>
      <c r="IP269" s="692"/>
      <c r="IQ269" s="692"/>
      <c r="IR269" s="692"/>
      <c r="IS269" s="692"/>
      <c r="IT269" s="692"/>
      <c r="IU269" s="692"/>
      <c r="IV269" s="692"/>
      <c r="IW269" s="692"/>
      <c r="IX269" s="692"/>
      <c r="IY269" s="692"/>
      <c r="IZ269" s="692"/>
      <c r="JA269" s="692"/>
      <c r="JB269" s="692"/>
      <c r="JC269" s="692"/>
      <c r="JD269" s="692"/>
      <c r="JE269" s="692"/>
      <c r="JF269" s="692"/>
      <c r="JG269" s="692"/>
      <c r="JH269" s="692"/>
      <c r="JI269" s="692"/>
      <c r="JJ269" s="692"/>
      <c r="JK269" s="692"/>
      <c r="JL269" s="692"/>
      <c r="JM269" s="692"/>
      <c r="JN269" s="692"/>
      <c r="JO269" s="692"/>
      <c r="JP269" s="692"/>
      <c r="JQ269" s="692"/>
      <c r="JR269" s="692"/>
      <c r="JS269" s="692"/>
      <c r="JT269" s="692"/>
      <c r="JU269" s="692"/>
      <c r="JV269" s="692"/>
      <c r="JW269" s="692"/>
      <c r="JX269" s="692"/>
      <c r="JY269" s="692"/>
      <c r="JZ269" s="692"/>
      <c r="KA269" s="692"/>
      <c r="KB269" s="692"/>
      <c r="KC269" s="692"/>
      <c r="KD269" s="692"/>
      <c r="KE269" s="692"/>
      <c r="KF269" s="692"/>
      <c r="KG269" s="692"/>
      <c r="KH269" s="692"/>
      <c r="KI269" s="692"/>
      <c r="KJ269" s="692"/>
      <c r="KK269" s="692"/>
      <c r="KL269" s="692"/>
      <c r="KM269" s="692"/>
      <c r="KN269" s="692"/>
      <c r="KO269" s="692"/>
      <c r="KP269" s="692"/>
      <c r="KQ269" s="692"/>
      <c r="KR269" s="692"/>
      <c r="KS269" s="692"/>
      <c r="KT269" s="692"/>
      <c r="KU269" s="692"/>
      <c r="KV269" s="692"/>
      <c r="KW269" s="692"/>
      <c r="KX269" s="692"/>
      <c r="KY269" s="692"/>
      <c r="KZ269" s="692"/>
      <c r="LA269" s="692"/>
      <c r="LB269" s="692"/>
      <c r="LC269" s="692"/>
      <c r="LD269" s="692"/>
      <c r="LE269" s="692"/>
      <c r="LF269" s="692"/>
      <c r="LG269" s="692"/>
      <c r="LH269" s="692"/>
      <c r="LI269" s="692"/>
      <c r="LJ269" s="692"/>
      <c r="LK269" s="692"/>
      <c r="LL269" s="692"/>
      <c r="LM269" s="692"/>
      <c r="LN269" s="692"/>
      <c r="LO269" s="692"/>
      <c r="LP269" s="692"/>
      <c r="LQ269" s="692"/>
      <c r="LR269" s="692"/>
      <c r="LS269" s="692"/>
      <c r="LT269" s="692"/>
      <c r="LU269" s="692"/>
      <c r="LV269" s="692"/>
      <c r="LW269" s="692"/>
      <c r="LX269" s="692"/>
      <c r="LY269" s="692"/>
      <c r="LZ269" s="692"/>
      <c r="MA269" s="692"/>
      <c r="MB269" s="692"/>
      <c r="MC269" s="692"/>
      <c r="MD269" s="692"/>
      <c r="ME269" s="692"/>
      <c r="MF269" s="692"/>
      <c r="MG269" s="692"/>
      <c r="MH269" s="692"/>
      <c r="MI269" s="692"/>
      <c r="MJ269" s="692"/>
      <c r="MK269" s="692"/>
      <c r="ML269" s="692"/>
      <c r="MM269" s="692"/>
      <c r="MN269" s="692"/>
      <c r="MO269" s="692"/>
      <c r="MP269" s="692"/>
      <c r="MQ269" s="692"/>
      <c r="MR269" s="692"/>
      <c r="MS269" s="692"/>
      <c r="MT269" s="692"/>
      <c r="MU269" s="692"/>
      <c r="MV269" s="692"/>
      <c r="MW269" s="692"/>
      <c r="MX269" s="692"/>
      <c r="MY269" s="692"/>
      <c r="MZ269" s="692"/>
      <c r="NA269" s="692"/>
      <c r="NB269" s="692"/>
      <c r="NC269" s="692"/>
      <c r="ND269" s="692"/>
      <c r="NE269" s="692"/>
      <c r="NF269" s="692"/>
      <c r="NG269" s="692"/>
      <c r="NH269" s="692"/>
      <c r="NI269" s="692"/>
      <c r="NJ269" s="692"/>
      <c r="NK269" s="692"/>
      <c r="NL269" s="692"/>
      <c r="NM269" s="692"/>
      <c r="NN269" s="692"/>
      <c r="NO269" s="692"/>
      <c r="NP269" s="692"/>
      <c r="NQ269" s="692"/>
      <c r="NR269" s="692"/>
    </row>
    <row r="270" spans="1:382" ht="15.75" thickBot="1" x14ac:dyDescent="0.3">
      <c r="A270" s="680"/>
      <c r="B270" s="680" t="s">
        <v>1720</v>
      </c>
      <c r="C270" s="161">
        <f>'Conversion factors'!B14</f>
        <v>11</v>
      </c>
      <c r="D270" s="680" t="s">
        <v>1711</v>
      </c>
      <c r="E270" s="25"/>
      <c r="F270" s="209" t="s">
        <v>1721</v>
      </c>
      <c r="G270" s="692"/>
      <c r="H270" s="692"/>
      <c r="I270" s="692"/>
      <c r="J270" s="692"/>
      <c r="K270" s="692"/>
      <c r="L270" s="692"/>
      <c r="M270" s="692"/>
      <c r="N270" s="692"/>
      <c r="O270" s="692"/>
      <c r="P270" s="692"/>
      <c r="Q270" s="692"/>
      <c r="R270" s="692"/>
      <c r="S270" s="692"/>
      <c r="T270" s="692"/>
      <c r="U270" s="692"/>
      <c r="V270" s="692"/>
      <c r="W270" s="692"/>
      <c r="X270" s="692"/>
      <c r="Y270" s="692"/>
      <c r="Z270" s="692"/>
      <c r="AA270" s="692"/>
      <c r="AB270" s="692"/>
      <c r="AC270" s="692"/>
      <c r="AD270" s="692"/>
      <c r="AE270" s="692"/>
      <c r="AF270" s="692"/>
      <c r="AG270" s="692"/>
      <c r="AH270" s="692"/>
      <c r="AI270" s="692"/>
      <c r="AJ270" s="692"/>
      <c r="AK270" s="692"/>
      <c r="AL270" s="692"/>
      <c r="AM270" s="692"/>
      <c r="AN270" s="692"/>
      <c r="AO270" s="692"/>
      <c r="AP270" s="692"/>
      <c r="AQ270" s="692"/>
      <c r="AR270" s="692"/>
      <c r="AS270" s="692"/>
      <c r="AT270" s="692"/>
      <c r="AU270" s="692"/>
      <c r="AV270" s="692"/>
      <c r="AW270" s="692"/>
      <c r="AX270" s="692"/>
      <c r="AY270" s="692"/>
      <c r="AZ270" s="692"/>
      <c r="BA270" s="692"/>
      <c r="BB270" s="692"/>
      <c r="BC270" s="692"/>
      <c r="BD270" s="692"/>
      <c r="BE270" s="692"/>
      <c r="BF270" s="692"/>
      <c r="BG270" s="692"/>
      <c r="BH270" s="692"/>
      <c r="BI270" s="692"/>
      <c r="BJ270" s="692"/>
      <c r="BK270" s="692"/>
      <c r="BL270" s="692"/>
      <c r="BM270" s="692"/>
      <c r="BN270" s="692"/>
      <c r="BO270" s="692"/>
      <c r="BP270" s="692"/>
      <c r="BQ270" s="692"/>
      <c r="BR270" s="692"/>
      <c r="BS270" s="692"/>
      <c r="BT270" s="692"/>
      <c r="BU270" s="692"/>
      <c r="BV270" s="692"/>
      <c r="BW270" s="692"/>
      <c r="BX270" s="692"/>
      <c r="BY270" s="692"/>
      <c r="BZ270" s="692"/>
      <c r="CA270" s="692"/>
      <c r="CB270" s="692"/>
      <c r="CC270" s="692"/>
      <c r="CD270" s="692"/>
      <c r="CE270" s="692"/>
      <c r="CF270" s="692"/>
      <c r="CG270" s="692"/>
      <c r="CH270" s="692"/>
      <c r="CI270" s="692"/>
      <c r="CJ270" s="692"/>
      <c r="CK270" s="692"/>
      <c r="CL270" s="692"/>
      <c r="CM270" s="692"/>
      <c r="CN270" s="692"/>
      <c r="CO270" s="692"/>
      <c r="CP270" s="692"/>
      <c r="CQ270" s="692"/>
      <c r="CR270" s="692"/>
      <c r="CS270" s="692"/>
      <c r="CT270" s="692"/>
      <c r="CU270" s="692"/>
      <c r="CV270" s="692"/>
      <c r="CW270" s="692"/>
      <c r="CX270" s="692"/>
      <c r="CY270" s="692"/>
      <c r="CZ270" s="692"/>
      <c r="DA270" s="692"/>
      <c r="DB270" s="692"/>
      <c r="DC270" s="692"/>
      <c r="DD270" s="692"/>
      <c r="DE270" s="692"/>
      <c r="DF270" s="692"/>
      <c r="DG270" s="692"/>
      <c r="DH270" s="692"/>
      <c r="DI270" s="692"/>
      <c r="DJ270" s="692"/>
      <c r="DK270" s="692"/>
      <c r="DL270" s="692"/>
      <c r="DM270" s="692"/>
      <c r="DN270" s="692"/>
      <c r="DO270" s="692"/>
      <c r="DP270" s="692"/>
      <c r="DQ270" s="692"/>
      <c r="DR270" s="692"/>
      <c r="DS270" s="692"/>
      <c r="DT270" s="692"/>
      <c r="DU270" s="692"/>
      <c r="DV270" s="692"/>
      <c r="DW270" s="692"/>
      <c r="DX270" s="692"/>
      <c r="DY270" s="692"/>
      <c r="DZ270" s="692"/>
      <c r="EA270" s="692"/>
      <c r="EB270" s="692"/>
      <c r="EC270" s="692"/>
      <c r="ED270" s="692"/>
      <c r="EE270" s="692"/>
      <c r="EF270" s="692"/>
      <c r="EG270" s="692"/>
      <c r="EH270" s="692"/>
      <c r="EI270" s="692"/>
      <c r="EJ270" s="692"/>
      <c r="EK270" s="692"/>
      <c r="EL270" s="692"/>
      <c r="EM270" s="692"/>
      <c r="EN270" s="692"/>
      <c r="EO270" s="692"/>
      <c r="EP270" s="692"/>
      <c r="EQ270" s="692"/>
      <c r="ER270" s="692"/>
      <c r="ES270" s="692"/>
      <c r="ET270" s="692"/>
      <c r="EU270" s="692"/>
      <c r="EV270" s="692"/>
      <c r="EW270" s="692"/>
      <c r="EX270" s="692"/>
      <c r="EY270" s="692"/>
      <c r="EZ270" s="692"/>
      <c r="FA270" s="692"/>
      <c r="FB270" s="692"/>
      <c r="FC270" s="692"/>
      <c r="FD270" s="692"/>
      <c r="FE270" s="692"/>
      <c r="FF270" s="692"/>
      <c r="FG270" s="692"/>
      <c r="FH270" s="692"/>
      <c r="FI270" s="692"/>
      <c r="FJ270" s="692"/>
      <c r="FK270" s="692"/>
      <c r="FL270" s="692"/>
      <c r="FM270" s="692"/>
      <c r="FN270" s="692"/>
      <c r="FO270" s="692"/>
      <c r="FP270" s="692"/>
      <c r="FQ270" s="692"/>
      <c r="FR270" s="692"/>
      <c r="FS270" s="692"/>
      <c r="FT270" s="692"/>
      <c r="FU270" s="692"/>
      <c r="FV270" s="692"/>
      <c r="FW270" s="692"/>
      <c r="FX270" s="692"/>
      <c r="FY270" s="692"/>
      <c r="FZ270" s="692"/>
      <c r="GA270" s="692"/>
      <c r="GB270" s="692"/>
      <c r="GC270" s="692"/>
      <c r="GD270" s="692"/>
      <c r="GE270" s="692"/>
      <c r="GF270" s="692"/>
      <c r="GG270" s="692"/>
      <c r="GH270" s="692"/>
      <c r="GI270" s="692"/>
      <c r="GJ270" s="692"/>
      <c r="GK270" s="692"/>
      <c r="GL270" s="692"/>
      <c r="GM270" s="692"/>
      <c r="GN270" s="692"/>
      <c r="GO270" s="692"/>
      <c r="GP270" s="692"/>
      <c r="GQ270" s="692"/>
      <c r="GR270" s="692"/>
      <c r="GS270" s="692"/>
      <c r="GT270" s="692"/>
      <c r="GU270" s="692"/>
      <c r="GV270" s="692"/>
      <c r="GW270" s="692"/>
      <c r="GX270" s="692"/>
      <c r="GY270" s="692"/>
      <c r="GZ270" s="692"/>
      <c r="HA270" s="692"/>
      <c r="HB270" s="692"/>
      <c r="HC270" s="692"/>
      <c r="HD270" s="692"/>
      <c r="HE270" s="692"/>
      <c r="HF270" s="692"/>
      <c r="HG270" s="692"/>
      <c r="HH270" s="692"/>
      <c r="HI270" s="692"/>
      <c r="HJ270" s="692"/>
      <c r="HK270" s="692"/>
      <c r="HL270" s="692"/>
      <c r="HM270" s="692"/>
      <c r="HN270" s="692"/>
      <c r="HO270" s="692"/>
      <c r="HP270" s="692"/>
      <c r="HQ270" s="692"/>
      <c r="HR270" s="692"/>
      <c r="HS270" s="692"/>
      <c r="HT270" s="692"/>
      <c r="HU270" s="692"/>
      <c r="HV270" s="692"/>
      <c r="HW270" s="692"/>
      <c r="HX270" s="692"/>
      <c r="HY270" s="692"/>
      <c r="HZ270" s="692"/>
      <c r="IA270" s="692"/>
      <c r="IB270" s="692"/>
      <c r="IC270" s="692"/>
      <c r="ID270" s="692"/>
      <c r="IE270" s="692"/>
      <c r="IF270" s="692"/>
      <c r="IG270" s="692"/>
      <c r="IH270" s="692"/>
      <c r="II270" s="692"/>
      <c r="IJ270" s="692"/>
      <c r="IK270" s="692"/>
      <c r="IL270" s="692"/>
      <c r="IM270" s="692"/>
      <c r="IN270" s="692"/>
      <c r="IO270" s="692"/>
      <c r="IP270" s="692"/>
      <c r="IQ270" s="692"/>
      <c r="IR270" s="692"/>
      <c r="IS270" s="692"/>
      <c r="IT270" s="692"/>
      <c r="IU270" s="692"/>
      <c r="IV270" s="692"/>
      <c r="IW270" s="692"/>
      <c r="IX270" s="692"/>
      <c r="IY270" s="692"/>
      <c r="IZ270" s="692"/>
      <c r="JA270" s="692"/>
      <c r="JB270" s="692"/>
      <c r="JC270" s="692"/>
      <c r="JD270" s="692"/>
      <c r="JE270" s="692"/>
      <c r="JF270" s="692"/>
      <c r="JG270" s="692"/>
      <c r="JH270" s="692"/>
      <c r="JI270" s="692"/>
      <c r="JJ270" s="692"/>
      <c r="JK270" s="692"/>
      <c r="JL270" s="692"/>
      <c r="JM270" s="692"/>
      <c r="JN270" s="692"/>
      <c r="JO270" s="692"/>
      <c r="JP270" s="692"/>
      <c r="JQ270" s="692"/>
      <c r="JR270" s="692"/>
      <c r="JS270" s="692"/>
      <c r="JT270" s="692"/>
      <c r="JU270" s="692"/>
      <c r="JV270" s="692"/>
      <c r="JW270" s="692"/>
      <c r="JX270" s="692"/>
      <c r="JY270" s="692"/>
      <c r="JZ270" s="692"/>
      <c r="KA270" s="692"/>
      <c r="KB270" s="692"/>
      <c r="KC270" s="692"/>
      <c r="KD270" s="692"/>
      <c r="KE270" s="692"/>
      <c r="KF270" s="692"/>
      <c r="KG270" s="692"/>
      <c r="KH270" s="692"/>
      <c r="KI270" s="692"/>
      <c r="KJ270" s="692"/>
      <c r="KK270" s="692"/>
      <c r="KL270" s="692"/>
      <c r="KM270" s="692"/>
      <c r="KN270" s="692"/>
      <c r="KO270" s="692"/>
      <c r="KP270" s="692"/>
      <c r="KQ270" s="692"/>
      <c r="KR270" s="692"/>
      <c r="KS270" s="692"/>
      <c r="KT270" s="692"/>
      <c r="KU270" s="692"/>
      <c r="KV270" s="692"/>
      <c r="KW270" s="692"/>
      <c r="KX270" s="692"/>
      <c r="KY270" s="692"/>
      <c r="KZ270" s="692"/>
      <c r="LA270" s="692"/>
      <c r="LB270" s="692"/>
      <c r="LC270" s="692"/>
      <c r="LD270" s="692"/>
      <c r="LE270" s="692"/>
      <c r="LF270" s="692"/>
      <c r="LG270" s="692"/>
      <c r="LH270" s="692"/>
      <c r="LI270" s="692"/>
      <c r="LJ270" s="692"/>
      <c r="LK270" s="692"/>
      <c r="LL270" s="692"/>
      <c r="LM270" s="692"/>
      <c r="LN270" s="692"/>
      <c r="LO270" s="692"/>
      <c r="LP270" s="692"/>
      <c r="LQ270" s="692"/>
      <c r="LR270" s="692"/>
      <c r="LS270" s="692"/>
      <c r="LT270" s="692"/>
      <c r="LU270" s="692"/>
      <c r="LV270" s="692"/>
      <c r="LW270" s="692"/>
      <c r="LX270" s="692"/>
      <c r="LY270" s="692"/>
      <c r="LZ270" s="692"/>
      <c r="MA270" s="692"/>
      <c r="MB270" s="692"/>
      <c r="MC270" s="692"/>
      <c r="MD270" s="692"/>
      <c r="ME270" s="692"/>
      <c r="MF270" s="692"/>
      <c r="MG270" s="692"/>
      <c r="MH270" s="692"/>
      <c r="MI270" s="692"/>
      <c r="MJ270" s="692"/>
      <c r="MK270" s="692"/>
      <c r="ML270" s="692"/>
      <c r="MM270" s="692"/>
      <c r="MN270" s="692"/>
      <c r="MO270" s="692"/>
      <c r="MP270" s="692"/>
      <c r="MQ270" s="692"/>
      <c r="MR270" s="692"/>
      <c r="MS270" s="692"/>
      <c r="MT270" s="692"/>
      <c r="MU270" s="692"/>
      <c r="MV270" s="692"/>
      <c r="MW270" s="692"/>
      <c r="MX270" s="692"/>
      <c r="MY270" s="692"/>
      <c r="MZ270" s="692"/>
      <c r="NA270" s="692"/>
      <c r="NB270" s="692"/>
      <c r="NC270" s="692"/>
      <c r="ND270" s="692"/>
      <c r="NE270" s="692"/>
      <c r="NF270" s="692"/>
      <c r="NG270" s="692"/>
      <c r="NH270" s="692"/>
      <c r="NI270" s="692"/>
      <c r="NJ270" s="692"/>
      <c r="NK270" s="692"/>
      <c r="NL270" s="692"/>
      <c r="NM270" s="692"/>
      <c r="NN270" s="692"/>
      <c r="NO270" s="692"/>
      <c r="NP270" s="692"/>
      <c r="NQ270" s="692"/>
      <c r="NR270" s="692"/>
    </row>
    <row r="271" spans="1:382" ht="15.75" thickBot="1" x14ac:dyDescent="0.3">
      <c r="A271" s="680"/>
      <c r="B271" s="189" t="s">
        <v>1722</v>
      </c>
      <c r="C271" s="161">
        <f>C268*C269*C270/1000</f>
        <v>0</v>
      </c>
      <c r="D271" s="680" t="s">
        <v>1575</v>
      </c>
      <c r="E271" s="25"/>
      <c r="F271" s="203"/>
      <c r="G271" s="692"/>
      <c r="H271" s="692"/>
      <c r="I271" s="692"/>
      <c r="J271" s="692"/>
      <c r="K271" s="692"/>
      <c r="L271" s="692"/>
      <c r="M271" s="692"/>
      <c r="N271" s="692"/>
      <c r="O271" s="692"/>
      <c r="P271" s="692"/>
      <c r="Q271" s="692"/>
      <c r="R271" s="692"/>
      <c r="S271" s="692"/>
      <c r="T271" s="692"/>
      <c r="U271" s="692"/>
      <c r="V271" s="692"/>
      <c r="W271" s="692"/>
      <c r="X271" s="692"/>
      <c r="Y271" s="692"/>
      <c r="Z271" s="692"/>
      <c r="AA271" s="692"/>
      <c r="AB271" s="692"/>
      <c r="AC271" s="692"/>
      <c r="AD271" s="692"/>
      <c r="AE271" s="692"/>
      <c r="AF271" s="692"/>
      <c r="AG271" s="692"/>
      <c r="AH271" s="692"/>
      <c r="AI271" s="692"/>
      <c r="AJ271" s="692"/>
      <c r="AK271" s="692"/>
      <c r="AL271" s="692"/>
      <c r="AM271" s="692"/>
      <c r="AN271" s="692"/>
      <c r="AO271" s="692"/>
      <c r="AP271" s="692"/>
      <c r="AQ271" s="692"/>
      <c r="AR271" s="692"/>
      <c r="AS271" s="692"/>
      <c r="AT271" s="692"/>
      <c r="AU271" s="692"/>
      <c r="AV271" s="692"/>
      <c r="AW271" s="692"/>
      <c r="AX271" s="692"/>
      <c r="AY271" s="692"/>
      <c r="AZ271" s="692"/>
      <c r="BA271" s="692"/>
      <c r="BB271" s="692"/>
      <c r="BC271" s="692"/>
      <c r="BD271" s="692"/>
      <c r="BE271" s="692"/>
      <c r="BF271" s="692"/>
      <c r="BG271" s="692"/>
      <c r="BH271" s="692"/>
      <c r="BI271" s="692"/>
      <c r="BJ271" s="692"/>
      <c r="BK271" s="692"/>
      <c r="BL271" s="692"/>
      <c r="BM271" s="692"/>
      <c r="BN271" s="692"/>
      <c r="BO271" s="692"/>
      <c r="BP271" s="692"/>
      <c r="BQ271" s="692"/>
      <c r="BR271" s="692"/>
      <c r="BS271" s="692"/>
      <c r="BT271" s="692"/>
      <c r="BU271" s="692"/>
      <c r="BV271" s="692"/>
      <c r="BW271" s="692"/>
      <c r="BX271" s="692"/>
      <c r="BY271" s="692"/>
      <c r="BZ271" s="692"/>
      <c r="CA271" s="692"/>
      <c r="CB271" s="692"/>
      <c r="CC271" s="692"/>
      <c r="CD271" s="692"/>
      <c r="CE271" s="692"/>
      <c r="CF271" s="692"/>
      <c r="CG271" s="692"/>
      <c r="CH271" s="692"/>
      <c r="CI271" s="692"/>
      <c r="CJ271" s="692"/>
      <c r="CK271" s="692"/>
      <c r="CL271" s="692"/>
      <c r="CM271" s="692"/>
      <c r="CN271" s="692"/>
      <c r="CO271" s="692"/>
      <c r="CP271" s="692"/>
      <c r="CQ271" s="692"/>
      <c r="CR271" s="692"/>
      <c r="CS271" s="692"/>
      <c r="CT271" s="692"/>
      <c r="CU271" s="692"/>
      <c r="CV271" s="692"/>
      <c r="CW271" s="692"/>
      <c r="CX271" s="692"/>
      <c r="CY271" s="692"/>
      <c r="CZ271" s="692"/>
      <c r="DA271" s="692"/>
      <c r="DB271" s="692"/>
      <c r="DC271" s="692"/>
      <c r="DD271" s="692"/>
      <c r="DE271" s="692"/>
      <c r="DF271" s="692"/>
      <c r="DG271" s="692"/>
      <c r="DH271" s="692"/>
      <c r="DI271" s="692"/>
      <c r="DJ271" s="692"/>
      <c r="DK271" s="692"/>
      <c r="DL271" s="692"/>
      <c r="DM271" s="692"/>
      <c r="DN271" s="692"/>
      <c r="DO271" s="692"/>
      <c r="DP271" s="692"/>
      <c r="DQ271" s="692"/>
      <c r="DR271" s="692"/>
      <c r="DS271" s="692"/>
      <c r="DT271" s="692"/>
      <c r="DU271" s="692"/>
      <c r="DV271" s="692"/>
      <c r="DW271" s="692"/>
      <c r="DX271" s="692"/>
      <c r="DY271" s="692"/>
      <c r="DZ271" s="692"/>
      <c r="EA271" s="692"/>
      <c r="EB271" s="692"/>
      <c r="EC271" s="692"/>
      <c r="ED271" s="692"/>
      <c r="EE271" s="692"/>
      <c r="EF271" s="692"/>
      <c r="EG271" s="692"/>
      <c r="EH271" s="692"/>
      <c r="EI271" s="692"/>
      <c r="EJ271" s="692"/>
      <c r="EK271" s="692"/>
      <c r="EL271" s="692"/>
      <c r="EM271" s="692"/>
      <c r="EN271" s="692"/>
      <c r="EO271" s="692"/>
      <c r="EP271" s="692"/>
      <c r="EQ271" s="692"/>
      <c r="ER271" s="692"/>
      <c r="ES271" s="692"/>
      <c r="ET271" s="692"/>
      <c r="EU271" s="692"/>
      <c r="EV271" s="692"/>
      <c r="EW271" s="692"/>
      <c r="EX271" s="692"/>
      <c r="EY271" s="692"/>
      <c r="EZ271" s="692"/>
      <c r="FA271" s="692"/>
      <c r="FB271" s="692"/>
      <c r="FC271" s="692"/>
      <c r="FD271" s="692"/>
      <c r="FE271" s="692"/>
      <c r="FF271" s="692"/>
      <c r="FG271" s="692"/>
      <c r="FH271" s="692"/>
      <c r="FI271" s="692"/>
      <c r="FJ271" s="692"/>
      <c r="FK271" s="692"/>
      <c r="FL271" s="692"/>
      <c r="FM271" s="692"/>
      <c r="FN271" s="692"/>
      <c r="FO271" s="692"/>
      <c r="FP271" s="692"/>
      <c r="FQ271" s="692"/>
      <c r="FR271" s="692"/>
      <c r="FS271" s="692"/>
      <c r="FT271" s="692"/>
      <c r="FU271" s="692"/>
      <c r="FV271" s="692"/>
      <c r="FW271" s="692"/>
      <c r="FX271" s="692"/>
      <c r="FY271" s="692"/>
      <c r="FZ271" s="692"/>
      <c r="GA271" s="692"/>
      <c r="GB271" s="692"/>
      <c r="GC271" s="692"/>
      <c r="GD271" s="692"/>
      <c r="GE271" s="692"/>
      <c r="GF271" s="692"/>
      <c r="GG271" s="692"/>
      <c r="GH271" s="692"/>
      <c r="GI271" s="692"/>
      <c r="GJ271" s="692"/>
      <c r="GK271" s="692"/>
      <c r="GL271" s="692"/>
      <c r="GM271" s="692"/>
      <c r="GN271" s="692"/>
      <c r="GO271" s="692"/>
      <c r="GP271" s="692"/>
      <c r="GQ271" s="692"/>
      <c r="GR271" s="692"/>
      <c r="GS271" s="692"/>
      <c r="GT271" s="692"/>
      <c r="GU271" s="692"/>
      <c r="GV271" s="692"/>
      <c r="GW271" s="692"/>
      <c r="GX271" s="692"/>
      <c r="GY271" s="692"/>
      <c r="GZ271" s="692"/>
      <c r="HA271" s="692"/>
      <c r="HB271" s="692"/>
      <c r="HC271" s="692"/>
      <c r="HD271" s="692"/>
      <c r="HE271" s="692"/>
      <c r="HF271" s="692"/>
      <c r="HG271" s="692"/>
      <c r="HH271" s="692"/>
      <c r="HI271" s="692"/>
      <c r="HJ271" s="692"/>
      <c r="HK271" s="692"/>
      <c r="HL271" s="692"/>
      <c r="HM271" s="692"/>
      <c r="HN271" s="692"/>
      <c r="HO271" s="692"/>
      <c r="HP271" s="692"/>
      <c r="HQ271" s="692"/>
      <c r="HR271" s="692"/>
      <c r="HS271" s="692"/>
      <c r="HT271" s="692"/>
      <c r="HU271" s="692"/>
      <c r="HV271" s="692"/>
      <c r="HW271" s="692"/>
      <c r="HX271" s="692"/>
      <c r="HY271" s="692"/>
      <c r="HZ271" s="692"/>
      <c r="IA271" s="692"/>
      <c r="IB271" s="692"/>
      <c r="IC271" s="692"/>
      <c r="ID271" s="692"/>
      <c r="IE271" s="692"/>
      <c r="IF271" s="692"/>
      <c r="IG271" s="692"/>
      <c r="IH271" s="692"/>
      <c r="II271" s="692"/>
      <c r="IJ271" s="692"/>
      <c r="IK271" s="692"/>
      <c r="IL271" s="692"/>
      <c r="IM271" s="692"/>
      <c r="IN271" s="692"/>
      <c r="IO271" s="692"/>
      <c r="IP271" s="692"/>
      <c r="IQ271" s="692"/>
      <c r="IR271" s="692"/>
      <c r="IS271" s="692"/>
      <c r="IT271" s="692"/>
      <c r="IU271" s="692"/>
      <c r="IV271" s="692"/>
      <c r="IW271" s="692"/>
      <c r="IX271" s="692"/>
      <c r="IY271" s="692"/>
      <c r="IZ271" s="692"/>
      <c r="JA271" s="692"/>
      <c r="JB271" s="692"/>
      <c r="JC271" s="692"/>
      <c r="JD271" s="692"/>
      <c r="JE271" s="692"/>
      <c r="JF271" s="692"/>
      <c r="JG271" s="692"/>
      <c r="JH271" s="692"/>
      <c r="JI271" s="692"/>
      <c r="JJ271" s="692"/>
      <c r="JK271" s="692"/>
      <c r="JL271" s="692"/>
      <c r="JM271" s="692"/>
      <c r="JN271" s="692"/>
      <c r="JO271" s="692"/>
      <c r="JP271" s="692"/>
      <c r="JQ271" s="692"/>
      <c r="JR271" s="692"/>
      <c r="JS271" s="692"/>
      <c r="JT271" s="692"/>
      <c r="JU271" s="692"/>
      <c r="JV271" s="692"/>
      <c r="JW271" s="692"/>
      <c r="JX271" s="692"/>
      <c r="JY271" s="692"/>
      <c r="JZ271" s="692"/>
      <c r="KA271" s="692"/>
      <c r="KB271" s="692"/>
      <c r="KC271" s="692"/>
      <c r="KD271" s="692"/>
      <c r="KE271" s="692"/>
      <c r="KF271" s="692"/>
      <c r="KG271" s="692"/>
      <c r="KH271" s="692"/>
      <c r="KI271" s="692"/>
      <c r="KJ271" s="692"/>
      <c r="KK271" s="692"/>
      <c r="KL271" s="692"/>
      <c r="KM271" s="692"/>
      <c r="KN271" s="692"/>
      <c r="KO271" s="692"/>
      <c r="KP271" s="692"/>
      <c r="KQ271" s="692"/>
      <c r="KR271" s="692"/>
      <c r="KS271" s="692"/>
      <c r="KT271" s="692"/>
      <c r="KU271" s="692"/>
      <c r="KV271" s="692"/>
      <c r="KW271" s="692"/>
      <c r="KX271" s="692"/>
      <c r="KY271" s="692"/>
      <c r="KZ271" s="692"/>
      <c r="LA271" s="692"/>
      <c r="LB271" s="692"/>
      <c r="LC271" s="692"/>
      <c r="LD271" s="692"/>
      <c r="LE271" s="692"/>
      <c r="LF271" s="692"/>
      <c r="LG271" s="692"/>
      <c r="LH271" s="692"/>
      <c r="LI271" s="692"/>
      <c r="LJ271" s="692"/>
      <c r="LK271" s="692"/>
      <c r="LL271" s="692"/>
      <c r="LM271" s="692"/>
      <c r="LN271" s="692"/>
      <c r="LO271" s="692"/>
      <c r="LP271" s="692"/>
      <c r="LQ271" s="692"/>
      <c r="LR271" s="692"/>
      <c r="LS271" s="692"/>
      <c r="LT271" s="692"/>
      <c r="LU271" s="692"/>
      <c r="LV271" s="692"/>
      <c r="LW271" s="692"/>
      <c r="LX271" s="692"/>
      <c r="LY271" s="692"/>
      <c r="LZ271" s="692"/>
      <c r="MA271" s="692"/>
      <c r="MB271" s="692"/>
      <c r="MC271" s="692"/>
      <c r="MD271" s="692"/>
      <c r="ME271" s="692"/>
      <c r="MF271" s="692"/>
      <c r="MG271" s="692"/>
      <c r="MH271" s="692"/>
      <c r="MI271" s="692"/>
      <c r="MJ271" s="692"/>
      <c r="MK271" s="692"/>
      <c r="ML271" s="692"/>
      <c r="MM271" s="692"/>
      <c r="MN271" s="692"/>
      <c r="MO271" s="692"/>
      <c r="MP271" s="692"/>
      <c r="MQ271" s="692"/>
      <c r="MR271" s="692"/>
      <c r="MS271" s="692"/>
      <c r="MT271" s="692"/>
      <c r="MU271" s="692"/>
      <c r="MV271" s="692"/>
      <c r="MW271" s="692"/>
      <c r="MX271" s="692"/>
      <c r="MY271" s="692"/>
      <c r="MZ271" s="692"/>
      <c r="NA271" s="692"/>
      <c r="NB271" s="692"/>
      <c r="NC271" s="692"/>
      <c r="ND271" s="692"/>
      <c r="NE271" s="692"/>
      <c r="NF271" s="692"/>
      <c r="NG271" s="692"/>
      <c r="NH271" s="692"/>
      <c r="NI271" s="692"/>
      <c r="NJ271" s="692"/>
      <c r="NK271" s="692"/>
      <c r="NL271" s="692"/>
      <c r="NM271" s="692"/>
      <c r="NN271" s="692"/>
      <c r="NO271" s="692"/>
      <c r="NP271" s="692"/>
      <c r="NQ271" s="692"/>
      <c r="NR271" s="692"/>
    </row>
    <row r="272" spans="1:382" ht="15.75" thickBot="1" x14ac:dyDescent="0.3">
      <c r="A272" s="680"/>
      <c r="B272" s="682"/>
      <c r="C272" s="512"/>
      <c r="D272" s="25"/>
      <c r="E272" s="25"/>
      <c r="F272" s="203"/>
      <c r="G272" s="692"/>
      <c r="H272" s="692"/>
      <c r="I272" s="692"/>
      <c r="J272" s="692"/>
      <c r="K272" s="692"/>
      <c r="L272" s="692"/>
      <c r="M272" s="692"/>
      <c r="N272" s="692"/>
      <c r="O272" s="692"/>
      <c r="P272" s="692"/>
      <c r="Q272" s="692"/>
      <c r="R272" s="692"/>
      <c r="S272" s="692"/>
      <c r="T272" s="692"/>
      <c r="U272" s="692"/>
      <c r="V272" s="692"/>
      <c r="W272" s="692"/>
      <c r="X272" s="692"/>
      <c r="Y272" s="692"/>
      <c r="Z272" s="692"/>
      <c r="AA272" s="692"/>
      <c r="AB272" s="692"/>
      <c r="AC272" s="692"/>
      <c r="AD272" s="692"/>
      <c r="AE272" s="692"/>
      <c r="AF272" s="692"/>
      <c r="AG272" s="692"/>
      <c r="AH272" s="692"/>
      <c r="AI272" s="692"/>
      <c r="AJ272" s="692"/>
      <c r="AK272" s="692"/>
      <c r="AL272" s="692"/>
      <c r="AM272" s="692"/>
      <c r="AN272" s="692"/>
      <c r="AO272" s="692"/>
      <c r="AP272" s="692"/>
      <c r="AQ272" s="692"/>
      <c r="AR272" s="692"/>
      <c r="AS272" s="692"/>
      <c r="AT272" s="692"/>
      <c r="AU272" s="692"/>
      <c r="AV272" s="692"/>
      <c r="AW272" s="692"/>
      <c r="AX272" s="692"/>
      <c r="AY272" s="692"/>
      <c r="AZ272" s="692"/>
      <c r="BA272" s="692"/>
      <c r="BB272" s="692"/>
      <c r="BC272" s="692"/>
      <c r="BD272" s="692"/>
      <c r="BE272" s="692"/>
      <c r="BF272" s="692"/>
      <c r="BG272" s="692"/>
      <c r="BH272" s="692"/>
      <c r="BI272" s="692"/>
      <c r="BJ272" s="692"/>
      <c r="BK272" s="692"/>
      <c r="BL272" s="692"/>
      <c r="BM272" s="692"/>
      <c r="BN272" s="692"/>
      <c r="BO272" s="692"/>
      <c r="BP272" s="692"/>
      <c r="BQ272" s="692"/>
      <c r="BR272" s="692"/>
      <c r="BS272" s="692"/>
      <c r="BT272" s="692"/>
      <c r="BU272" s="692"/>
      <c r="BV272" s="692"/>
      <c r="BW272" s="692"/>
      <c r="BX272" s="692"/>
      <c r="BY272" s="692"/>
      <c r="BZ272" s="692"/>
      <c r="CA272" s="692"/>
      <c r="CB272" s="692"/>
      <c r="CC272" s="692"/>
      <c r="CD272" s="692"/>
      <c r="CE272" s="692"/>
      <c r="CF272" s="692"/>
      <c r="CG272" s="692"/>
      <c r="CH272" s="692"/>
      <c r="CI272" s="692"/>
      <c r="CJ272" s="692"/>
      <c r="CK272" s="692"/>
      <c r="CL272" s="692"/>
      <c r="CM272" s="692"/>
      <c r="CN272" s="692"/>
      <c r="CO272" s="692"/>
      <c r="CP272" s="692"/>
      <c r="CQ272" s="692"/>
      <c r="CR272" s="692"/>
      <c r="CS272" s="692"/>
      <c r="CT272" s="692"/>
      <c r="CU272" s="692"/>
      <c r="CV272" s="692"/>
      <c r="CW272" s="692"/>
      <c r="CX272" s="692"/>
      <c r="CY272" s="692"/>
      <c r="CZ272" s="692"/>
      <c r="DA272" s="692"/>
      <c r="DB272" s="692"/>
      <c r="DC272" s="692"/>
      <c r="DD272" s="692"/>
      <c r="DE272" s="692"/>
      <c r="DF272" s="692"/>
      <c r="DG272" s="692"/>
      <c r="DH272" s="692"/>
      <c r="DI272" s="692"/>
      <c r="DJ272" s="692"/>
      <c r="DK272" s="692"/>
      <c r="DL272" s="692"/>
      <c r="DM272" s="692"/>
      <c r="DN272" s="692"/>
      <c r="DO272" s="692"/>
      <c r="DP272" s="692"/>
      <c r="DQ272" s="692"/>
      <c r="DR272" s="692"/>
      <c r="DS272" s="692"/>
      <c r="DT272" s="692"/>
      <c r="DU272" s="692"/>
      <c r="DV272" s="692"/>
      <c r="DW272" s="692"/>
      <c r="DX272" s="692"/>
      <c r="DY272" s="692"/>
      <c r="DZ272" s="692"/>
      <c r="EA272" s="692"/>
      <c r="EB272" s="692"/>
      <c r="EC272" s="692"/>
      <c r="ED272" s="692"/>
      <c r="EE272" s="692"/>
      <c r="EF272" s="692"/>
      <c r="EG272" s="692"/>
      <c r="EH272" s="692"/>
      <c r="EI272" s="692"/>
      <c r="EJ272" s="692"/>
      <c r="EK272" s="692"/>
      <c r="EL272" s="692"/>
      <c r="EM272" s="692"/>
      <c r="EN272" s="692"/>
      <c r="EO272" s="692"/>
      <c r="EP272" s="692"/>
      <c r="EQ272" s="692"/>
      <c r="ER272" s="692"/>
      <c r="ES272" s="692"/>
      <c r="ET272" s="692"/>
      <c r="EU272" s="692"/>
      <c r="EV272" s="692"/>
      <c r="EW272" s="692"/>
      <c r="EX272" s="692"/>
      <c r="EY272" s="692"/>
      <c r="EZ272" s="692"/>
      <c r="FA272" s="692"/>
      <c r="FB272" s="692"/>
      <c r="FC272" s="692"/>
      <c r="FD272" s="692"/>
      <c r="FE272" s="692"/>
      <c r="FF272" s="692"/>
      <c r="FG272" s="692"/>
      <c r="FH272" s="692"/>
      <c r="FI272" s="692"/>
      <c r="FJ272" s="692"/>
      <c r="FK272" s="692"/>
      <c r="FL272" s="692"/>
      <c r="FM272" s="692"/>
      <c r="FN272" s="692"/>
      <c r="FO272" s="692"/>
      <c r="FP272" s="692"/>
      <c r="FQ272" s="692"/>
      <c r="FR272" s="692"/>
      <c r="FS272" s="692"/>
      <c r="FT272" s="692"/>
      <c r="FU272" s="692"/>
      <c r="FV272" s="692"/>
      <c r="FW272" s="692"/>
      <c r="FX272" s="692"/>
      <c r="FY272" s="692"/>
      <c r="FZ272" s="692"/>
      <c r="GA272" s="692"/>
      <c r="GB272" s="692"/>
      <c r="GC272" s="692"/>
      <c r="GD272" s="692"/>
      <c r="GE272" s="692"/>
      <c r="GF272" s="692"/>
      <c r="GG272" s="692"/>
      <c r="GH272" s="692"/>
      <c r="GI272" s="692"/>
      <c r="GJ272" s="692"/>
      <c r="GK272" s="692"/>
      <c r="GL272" s="692"/>
      <c r="GM272" s="692"/>
      <c r="GN272" s="692"/>
      <c r="GO272" s="692"/>
      <c r="GP272" s="692"/>
      <c r="GQ272" s="692"/>
      <c r="GR272" s="692"/>
      <c r="GS272" s="692"/>
      <c r="GT272" s="692"/>
      <c r="GU272" s="692"/>
      <c r="GV272" s="692"/>
      <c r="GW272" s="692"/>
      <c r="GX272" s="692"/>
      <c r="GY272" s="692"/>
      <c r="GZ272" s="692"/>
      <c r="HA272" s="692"/>
      <c r="HB272" s="692"/>
      <c r="HC272" s="692"/>
      <c r="HD272" s="692"/>
      <c r="HE272" s="692"/>
      <c r="HF272" s="692"/>
      <c r="HG272" s="692"/>
      <c r="HH272" s="692"/>
      <c r="HI272" s="692"/>
      <c r="HJ272" s="692"/>
      <c r="HK272" s="692"/>
      <c r="HL272" s="692"/>
      <c r="HM272" s="692"/>
      <c r="HN272" s="692"/>
      <c r="HO272" s="692"/>
      <c r="HP272" s="692"/>
      <c r="HQ272" s="692"/>
      <c r="HR272" s="692"/>
      <c r="HS272" s="692"/>
      <c r="HT272" s="692"/>
      <c r="HU272" s="692"/>
      <c r="HV272" s="692"/>
      <c r="HW272" s="692"/>
      <c r="HX272" s="692"/>
      <c r="HY272" s="692"/>
      <c r="HZ272" s="692"/>
      <c r="IA272" s="692"/>
      <c r="IB272" s="692"/>
      <c r="IC272" s="692"/>
      <c r="ID272" s="692"/>
      <c r="IE272" s="692"/>
      <c r="IF272" s="692"/>
      <c r="IG272" s="692"/>
      <c r="IH272" s="692"/>
      <c r="II272" s="692"/>
      <c r="IJ272" s="692"/>
      <c r="IK272" s="692"/>
      <c r="IL272" s="692"/>
      <c r="IM272" s="692"/>
      <c r="IN272" s="692"/>
      <c r="IO272" s="692"/>
      <c r="IP272" s="692"/>
      <c r="IQ272" s="692"/>
      <c r="IR272" s="692"/>
      <c r="IS272" s="692"/>
      <c r="IT272" s="692"/>
      <c r="IU272" s="692"/>
      <c r="IV272" s="692"/>
      <c r="IW272" s="692"/>
      <c r="IX272" s="692"/>
      <c r="IY272" s="692"/>
      <c r="IZ272" s="692"/>
      <c r="JA272" s="692"/>
      <c r="JB272" s="692"/>
      <c r="JC272" s="692"/>
      <c r="JD272" s="692"/>
      <c r="JE272" s="692"/>
      <c r="JF272" s="692"/>
      <c r="JG272" s="692"/>
      <c r="JH272" s="692"/>
      <c r="JI272" s="692"/>
      <c r="JJ272" s="692"/>
      <c r="JK272" s="692"/>
      <c r="JL272" s="692"/>
      <c r="JM272" s="692"/>
      <c r="JN272" s="692"/>
      <c r="JO272" s="692"/>
      <c r="JP272" s="692"/>
      <c r="JQ272" s="692"/>
      <c r="JR272" s="692"/>
      <c r="JS272" s="692"/>
      <c r="JT272" s="692"/>
      <c r="JU272" s="692"/>
      <c r="JV272" s="692"/>
      <c r="JW272" s="692"/>
      <c r="JX272" s="692"/>
      <c r="JY272" s="692"/>
      <c r="JZ272" s="692"/>
      <c r="KA272" s="692"/>
      <c r="KB272" s="692"/>
      <c r="KC272" s="692"/>
      <c r="KD272" s="692"/>
      <c r="KE272" s="692"/>
      <c r="KF272" s="692"/>
      <c r="KG272" s="692"/>
      <c r="KH272" s="692"/>
      <c r="KI272" s="692"/>
      <c r="KJ272" s="692"/>
      <c r="KK272" s="692"/>
      <c r="KL272" s="692"/>
      <c r="KM272" s="692"/>
      <c r="KN272" s="692"/>
      <c r="KO272" s="692"/>
      <c r="KP272" s="692"/>
      <c r="KQ272" s="692"/>
      <c r="KR272" s="692"/>
      <c r="KS272" s="692"/>
      <c r="KT272" s="692"/>
      <c r="KU272" s="692"/>
      <c r="KV272" s="692"/>
      <c r="KW272" s="692"/>
      <c r="KX272" s="692"/>
      <c r="KY272" s="692"/>
      <c r="KZ272" s="692"/>
      <c r="LA272" s="692"/>
      <c r="LB272" s="692"/>
      <c r="LC272" s="692"/>
      <c r="LD272" s="692"/>
      <c r="LE272" s="692"/>
      <c r="LF272" s="692"/>
      <c r="LG272" s="692"/>
      <c r="LH272" s="692"/>
      <c r="LI272" s="692"/>
      <c r="LJ272" s="692"/>
      <c r="LK272" s="692"/>
      <c r="LL272" s="692"/>
      <c r="LM272" s="692"/>
      <c r="LN272" s="692"/>
      <c r="LO272" s="692"/>
      <c r="LP272" s="692"/>
      <c r="LQ272" s="692"/>
      <c r="LR272" s="692"/>
      <c r="LS272" s="692"/>
      <c r="LT272" s="692"/>
      <c r="LU272" s="692"/>
      <c r="LV272" s="692"/>
      <c r="LW272" s="692"/>
      <c r="LX272" s="692"/>
      <c r="LY272" s="692"/>
      <c r="LZ272" s="692"/>
      <c r="MA272" s="692"/>
      <c r="MB272" s="692"/>
      <c r="MC272" s="692"/>
      <c r="MD272" s="692"/>
      <c r="ME272" s="692"/>
      <c r="MF272" s="692"/>
      <c r="MG272" s="692"/>
      <c r="MH272" s="692"/>
      <c r="MI272" s="692"/>
      <c r="MJ272" s="692"/>
      <c r="MK272" s="692"/>
      <c r="ML272" s="692"/>
      <c r="MM272" s="692"/>
      <c r="MN272" s="692"/>
      <c r="MO272" s="692"/>
      <c r="MP272" s="692"/>
      <c r="MQ272" s="692"/>
      <c r="MR272" s="692"/>
      <c r="MS272" s="692"/>
      <c r="MT272" s="692"/>
      <c r="MU272" s="692"/>
      <c r="MV272" s="692"/>
      <c r="MW272" s="692"/>
      <c r="MX272" s="692"/>
      <c r="MY272" s="692"/>
      <c r="MZ272" s="692"/>
      <c r="NA272" s="692"/>
      <c r="NB272" s="692"/>
      <c r="NC272" s="692"/>
      <c r="ND272" s="692"/>
      <c r="NE272" s="692"/>
      <c r="NF272" s="692"/>
      <c r="NG272" s="692"/>
      <c r="NH272" s="692"/>
      <c r="NI272" s="692"/>
      <c r="NJ272" s="692"/>
      <c r="NK272" s="692"/>
      <c r="NL272" s="692"/>
      <c r="NM272" s="692"/>
      <c r="NN272" s="692"/>
      <c r="NO272" s="692"/>
      <c r="NP272" s="692"/>
      <c r="NQ272" s="692"/>
      <c r="NR272" s="692"/>
    </row>
    <row r="273" spans="1:382" ht="15.75" thickBot="1" x14ac:dyDescent="0.3">
      <c r="A273" s="680"/>
      <c r="B273" s="680" t="s">
        <v>1706</v>
      </c>
      <c r="C273" s="703">
        <f>C251+C256+C261+C266+C271</f>
        <v>0</v>
      </c>
      <c r="D273" s="680" t="s">
        <v>1575</v>
      </c>
      <c r="E273" s="25"/>
      <c r="F273" s="203"/>
      <c r="G273" s="692"/>
      <c r="H273" s="692"/>
      <c r="I273" s="692"/>
      <c r="J273" s="692"/>
      <c r="K273" s="692"/>
      <c r="L273" s="692"/>
      <c r="M273" s="692"/>
      <c r="N273" s="692"/>
      <c r="O273" s="692"/>
      <c r="P273" s="692"/>
      <c r="Q273" s="692"/>
      <c r="R273" s="692"/>
      <c r="S273" s="692"/>
      <c r="T273" s="692"/>
      <c r="U273" s="692"/>
      <c r="V273" s="692"/>
      <c r="W273" s="692"/>
      <c r="X273" s="692"/>
      <c r="Y273" s="692"/>
      <c r="Z273" s="692"/>
      <c r="AA273" s="692"/>
      <c r="AB273" s="692"/>
      <c r="AC273" s="692"/>
      <c r="AD273" s="692"/>
      <c r="AE273" s="692"/>
      <c r="AF273" s="692"/>
      <c r="AG273" s="692"/>
      <c r="AH273" s="692"/>
      <c r="AI273" s="692"/>
      <c r="AJ273" s="692"/>
      <c r="AK273" s="692"/>
      <c r="AL273" s="692"/>
      <c r="AM273" s="692"/>
      <c r="AN273" s="692"/>
      <c r="AO273" s="692"/>
      <c r="AP273" s="692"/>
      <c r="AQ273" s="692"/>
      <c r="AR273" s="692"/>
      <c r="AS273" s="692"/>
      <c r="AT273" s="692"/>
      <c r="AU273" s="692"/>
      <c r="AV273" s="692"/>
      <c r="AW273" s="692"/>
      <c r="AX273" s="692"/>
      <c r="AY273" s="692"/>
      <c r="AZ273" s="692"/>
      <c r="BA273" s="692"/>
      <c r="BB273" s="692"/>
      <c r="BC273" s="692"/>
      <c r="BD273" s="692"/>
      <c r="BE273" s="692"/>
      <c r="BF273" s="692"/>
      <c r="BG273" s="692"/>
      <c r="BH273" s="692"/>
      <c r="BI273" s="692"/>
      <c r="BJ273" s="692"/>
      <c r="BK273" s="692"/>
      <c r="BL273" s="692"/>
      <c r="BM273" s="692"/>
      <c r="BN273" s="692"/>
      <c r="BO273" s="692"/>
      <c r="BP273" s="692"/>
      <c r="BQ273" s="692"/>
      <c r="BR273" s="692"/>
      <c r="BS273" s="692"/>
      <c r="BT273" s="692"/>
      <c r="BU273" s="692"/>
      <c r="BV273" s="692"/>
      <c r="BW273" s="692"/>
      <c r="BX273" s="692"/>
      <c r="BY273" s="692"/>
      <c r="BZ273" s="692"/>
      <c r="CA273" s="692"/>
      <c r="CB273" s="692"/>
      <c r="CC273" s="692"/>
      <c r="CD273" s="692"/>
      <c r="CE273" s="692"/>
      <c r="CF273" s="692"/>
      <c r="CG273" s="692"/>
      <c r="CH273" s="692"/>
      <c r="CI273" s="692"/>
      <c r="CJ273" s="692"/>
      <c r="CK273" s="692"/>
      <c r="CL273" s="692"/>
      <c r="CM273" s="692"/>
      <c r="CN273" s="692"/>
      <c r="CO273" s="692"/>
      <c r="CP273" s="692"/>
      <c r="CQ273" s="692"/>
      <c r="CR273" s="692"/>
      <c r="CS273" s="692"/>
      <c r="CT273" s="692"/>
      <c r="CU273" s="692"/>
      <c r="CV273" s="692"/>
      <c r="CW273" s="692"/>
      <c r="CX273" s="692"/>
      <c r="CY273" s="692"/>
      <c r="CZ273" s="692"/>
      <c r="DA273" s="692"/>
      <c r="DB273" s="692"/>
      <c r="DC273" s="692"/>
      <c r="DD273" s="692"/>
      <c r="DE273" s="692"/>
      <c r="DF273" s="692"/>
      <c r="DG273" s="692"/>
      <c r="DH273" s="692"/>
      <c r="DI273" s="692"/>
      <c r="DJ273" s="692"/>
      <c r="DK273" s="692"/>
      <c r="DL273" s="692"/>
      <c r="DM273" s="692"/>
      <c r="DN273" s="692"/>
      <c r="DO273" s="692"/>
      <c r="DP273" s="692"/>
      <c r="DQ273" s="692"/>
      <c r="DR273" s="692"/>
      <c r="DS273" s="692"/>
      <c r="DT273" s="692"/>
      <c r="DU273" s="692"/>
      <c r="DV273" s="692"/>
      <c r="DW273" s="692"/>
      <c r="DX273" s="692"/>
      <c r="DY273" s="692"/>
      <c r="DZ273" s="692"/>
      <c r="EA273" s="692"/>
      <c r="EB273" s="692"/>
      <c r="EC273" s="692"/>
      <c r="ED273" s="692"/>
      <c r="EE273" s="692"/>
      <c r="EF273" s="692"/>
      <c r="EG273" s="692"/>
      <c r="EH273" s="692"/>
      <c r="EI273" s="692"/>
      <c r="EJ273" s="692"/>
      <c r="EK273" s="692"/>
      <c r="EL273" s="692"/>
      <c r="EM273" s="692"/>
      <c r="EN273" s="692"/>
      <c r="EO273" s="692"/>
      <c r="EP273" s="692"/>
      <c r="EQ273" s="692"/>
      <c r="ER273" s="692"/>
      <c r="ES273" s="692"/>
      <c r="ET273" s="692"/>
      <c r="EU273" s="692"/>
      <c r="EV273" s="692"/>
      <c r="EW273" s="692"/>
      <c r="EX273" s="692"/>
      <c r="EY273" s="692"/>
      <c r="EZ273" s="692"/>
      <c r="FA273" s="692"/>
      <c r="FB273" s="692"/>
      <c r="FC273" s="692"/>
      <c r="FD273" s="692"/>
      <c r="FE273" s="692"/>
      <c r="FF273" s="692"/>
      <c r="FG273" s="692"/>
      <c r="FH273" s="692"/>
      <c r="FI273" s="692"/>
      <c r="FJ273" s="692"/>
      <c r="FK273" s="692"/>
      <c r="FL273" s="692"/>
      <c r="FM273" s="692"/>
      <c r="FN273" s="692"/>
      <c r="FO273" s="692"/>
      <c r="FP273" s="692"/>
      <c r="FQ273" s="692"/>
      <c r="FR273" s="692"/>
      <c r="FS273" s="692"/>
      <c r="FT273" s="692"/>
      <c r="FU273" s="692"/>
      <c r="FV273" s="692"/>
      <c r="FW273" s="692"/>
      <c r="FX273" s="692"/>
      <c r="FY273" s="692"/>
      <c r="FZ273" s="692"/>
      <c r="GA273" s="692"/>
      <c r="GB273" s="692"/>
      <c r="GC273" s="692"/>
      <c r="GD273" s="692"/>
      <c r="GE273" s="692"/>
      <c r="GF273" s="692"/>
      <c r="GG273" s="692"/>
      <c r="GH273" s="692"/>
      <c r="GI273" s="692"/>
      <c r="GJ273" s="692"/>
      <c r="GK273" s="692"/>
      <c r="GL273" s="692"/>
      <c r="GM273" s="692"/>
      <c r="GN273" s="692"/>
      <c r="GO273" s="692"/>
      <c r="GP273" s="692"/>
      <c r="GQ273" s="692"/>
      <c r="GR273" s="692"/>
      <c r="GS273" s="692"/>
      <c r="GT273" s="692"/>
      <c r="GU273" s="692"/>
      <c r="GV273" s="692"/>
      <c r="GW273" s="692"/>
      <c r="GX273" s="692"/>
      <c r="GY273" s="692"/>
      <c r="GZ273" s="692"/>
      <c r="HA273" s="692"/>
      <c r="HB273" s="692"/>
      <c r="HC273" s="692"/>
      <c r="HD273" s="692"/>
      <c r="HE273" s="692"/>
      <c r="HF273" s="692"/>
      <c r="HG273" s="692"/>
      <c r="HH273" s="692"/>
      <c r="HI273" s="692"/>
      <c r="HJ273" s="692"/>
      <c r="HK273" s="692"/>
      <c r="HL273" s="692"/>
      <c r="HM273" s="692"/>
      <c r="HN273" s="692"/>
      <c r="HO273" s="692"/>
      <c r="HP273" s="692"/>
      <c r="HQ273" s="692"/>
      <c r="HR273" s="692"/>
      <c r="HS273" s="692"/>
      <c r="HT273" s="692"/>
      <c r="HU273" s="692"/>
      <c r="HV273" s="692"/>
      <c r="HW273" s="692"/>
      <c r="HX273" s="692"/>
      <c r="HY273" s="692"/>
      <c r="HZ273" s="692"/>
      <c r="IA273" s="692"/>
      <c r="IB273" s="692"/>
      <c r="IC273" s="692"/>
      <c r="ID273" s="692"/>
      <c r="IE273" s="692"/>
      <c r="IF273" s="692"/>
      <c r="IG273" s="692"/>
      <c r="IH273" s="692"/>
      <c r="II273" s="692"/>
      <c r="IJ273" s="692"/>
      <c r="IK273" s="692"/>
      <c r="IL273" s="692"/>
      <c r="IM273" s="692"/>
      <c r="IN273" s="692"/>
      <c r="IO273" s="692"/>
      <c r="IP273" s="692"/>
      <c r="IQ273" s="692"/>
      <c r="IR273" s="692"/>
      <c r="IS273" s="692"/>
      <c r="IT273" s="692"/>
      <c r="IU273" s="692"/>
      <c r="IV273" s="692"/>
      <c r="IW273" s="692"/>
      <c r="IX273" s="692"/>
      <c r="IY273" s="692"/>
      <c r="IZ273" s="692"/>
      <c r="JA273" s="692"/>
      <c r="JB273" s="692"/>
      <c r="JC273" s="692"/>
      <c r="JD273" s="692"/>
      <c r="JE273" s="692"/>
      <c r="JF273" s="692"/>
      <c r="JG273" s="692"/>
      <c r="JH273" s="692"/>
      <c r="JI273" s="692"/>
      <c r="JJ273" s="692"/>
      <c r="JK273" s="692"/>
      <c r="JL273" s="692"/>
      <c r="JM273" s="692"/>
      <c r="JN273" s="692"/>
      <c r="JO273" s="692"/>
      <c r="JP273" s="692"/>
      <c r="JQ273" s="692"/>
      <c r="JR273" s="692"/>
      <c r="JS273" s="692"/>
      <c r="JT273" s="692"/>
      <c r="JU273" s="692"/>
      <c r="JV273" s="692"/>
      <c r="JW273" s="692"/>
      <c r="JX273" s="692"/>
      <c r="JY273" s="692"/>
      <c r="JZ273" s="692"/>
      <c r="KA273" s="692"/>
      <c r="KB273" s="692"/>
      <c r="KC273" s="692"/>
      <c r="KD273" s="692"/>
      <c r="KE273" s="692"/>
      <c r="KF273" s="692"/>
      <c r="KG273" s="692"/>
      <c r="KH273" s="692"/>
      <c r="KI273" s="692"/>
      <c r="KJ273" s="692"/>
      <c r="KK273" s="692"/>
      <c r="KL273" s="692"/>
      <c r="KM273" s="692"/>
      <c r="KN273" s="692"/>
      <c r="KO273" s="692"/>
      <c r="KP273" s="692"/>
      <c r="KQ273" s="692"/>
      <c r="KR273" s="692"/>
      <c r="KS273" s="692"/>
      <c r="KT273" s="692"/>
      <c r="KU273" s="692"/>
      <c r="KV273" s="692"/>
      <c r="KW273" s="692"/>
      <c r="KX273" s="692"/>
      <c r="KY273" s="692"/>
      <c r="KZ273" s="692"/>
      <c r="LA273" s="692"/>
      <c r="LB273" s="692"/>
      <c r="LC273" s="692"/>
      <c r="LD273" s="692"/>
      <c r="LE273" s="692"/>
      <c r="LF273" s="692"/>
      <c r="LG273" s="692"/>
      <c r="LH273" s="692"/>
      <c r="LI273" s="692"/>
      <c r="LJ273" s="692"/>
      <c r="LK273" s="692"/>
      <c r="LL273" s="692"/>
      <c r="LM273" s="692"/>
      <c r="LN273" s="692"/>
      <c r="LO273" s="692"/>
      <c r="LP273" s="692"/>
      <c r="LQ273" s="692"/>
      <c r="LR273" s="692"/>
      <c r="LS273" s="692"/>
      <c r="LT273" s="692"/>
      <c r="LU273" s="692"/>
      <c r="LV273" s="692"/>
      <c r="LW273" s="692"/>
      <c r="LX273" s="692"/>
      <c r="LY273" s="692"/>
      <c r="LZ273" s="692"/>
      <c r="MA273" s="692"/>
      <c r="MB273" s="692"/>
      <c r="MC273" s="692"/>
      <c r="MD273" s="692"/>
      <c r="ME273" s="692"/>
      <c r="MF273" s="692"/>
      <c r="MG273" s="692"/>
      <c r="MH273" s="692"/>
      <c r="MI273" s="692"/>
      <c r="MJ273" s="692"/>
      <c r="MK273" s="692"/>
      <c r="ML273" s="692"/>
      <c r="MM273" s="692"/>
      <c r="MN273" s="692"/>
      <c r="MO273" s="692"/>
      <c r="MP273" s="692"/>
      <c r="MQ273" s="692"/>
      <c r="MR273" s="692"/>
      <c r="MS273" s="692"/>
      <c r="MT273" s="692"/>
      <c r="MU273" s="692"/>
      <c r="MV273" s="692"/>
      <c r="MW273" s="692"/>
      <c r="MX273" s="692"/>
      <c r="MY273" s="692"/>
      <c r="MZ273" s="692"/>
      <c r="NA273" s="692"/>
      <c r="NB273" s="692"/>
      <c r="NC273" s="692"/>
      <c r="ND273" s="692"/>
      <c r="NE273" s="692"/>
      <c r="NF273" s="692"/>
      <c r="NG273" s="692"/>
      <c r="NH273" s="692"/>
      <c r="NI273" s="692"/>
      <c r="NJ273" s="692"/>
      <c r="NK273" s="692"/>
      <c r="NL273" s="692"/>
      <c r="NM273" s="692"/>
      <c r="NN273" s="692"/>
      <c r="NO273" s="692"/>
      <c r="NP273" s="692"/>
      <c r="NQ273" s="692"/>
      <c r="NR273" s="692"/>
    </row>
    <row r="274" spans="1:382" x14ac:dyDescent="0.25">
      <c r="A274" s="680"/>
      <c r="B274" s="680" t="s">
        <v>1706</v>
      </c>
      <c r="C274" s="161" t="e">
        <f>C273/'Input Data'!E15</f>
        <v>#DIV/0!</v>
      </c>
      <c r="D274" s="680" t="s">
        <v>1061</v>
      </c>
      <c r="E274" s="25"/>
      <c r="F274" s="203"/>
      <c r="G274" s="692"/>
      <c r="H274" s="692"/>
      <c r="I274" s="692"/>
      <c r="J274" s="692"/>
      <c r="K274" s="692"/>
      <c r="L274" s="692"/>
      <c r="M274" s="692"/>
      <c r="N274" s="692"/>
      <c r="O274" s="692"/>
      <c r="P274" s="692"/>
      <c r="Q274" s="692"/>
      <c r="R274" s="692"/>
      <c r="S274" s="692"/>
      <c r="T274" s="692"/>
      <c r="U274" s="692"/>
      <c r="V274" s="692"/>
      <c r="W274" s="692"/>
      <c r="X274" s="692"/>
      <c r="Y274" s="692"/>
      <c r="Z274" s="692"/>
      <c r="AA274" s="692"/>
      <c r="AB274" s="692"/>
      <c r="AC274" s="692"/>
      <c r="AD274" s="692"/>
      <c r="AE274" s="692"/>
      <c r="AF274" s="692"/>
      <c r="AG274" s="692"/>
      <c r="AH274" s="692"/>
      <c r="AI274" s="692"/>
      <c r="AJ274" s="692"/>
      <c r="AK274" s="692"/>
      <c r="AL274" s="692"/>
      <c r="AM274" s="692"/>
      <c r="AN274" s="692"/>
      <c r="AO274" s="692"/>
      <c r="AP274" s="692"/>
      <c r="AQ274" s="692"/>
      <c r="AR274" s="692"/>
      <c r="AS274" s="692"/>
      <c r="AT274" s="692"/>
      <c r="AU274" s="692"/>
      <c r="AV274" s="692"/>
      <c r="AW274" s="692"/>
      <c r="AX274" s="692"/>
      <c r="AY274" s="692"/>
      <c r="AZ274" s="692"/>
      <c r="BA274" s="692"/>
      <c r="BB274" s="692"/>
      <c r="BC274" s="692"/>
      <c r="BD274" s="692"/>
      <c r="BE274" s="692"/>
      <c r="BF274" s="692"/>
      <c r="BG274" s="692"/>
      <c r="BH274" s="692"/>
      <c r="BI274" s="692"/>
      <c r="BJ274" s="692"/>
      <c r="BK274" s="692"/>
      <c r="BL274" s="692"/>
      <c r="BM274" s="692"/>
      <c r="BN274" s="692"/>
      <c r="BO274" s="692"/>
      <c r="BP274" s="692"/>
      <c r="BQ274" s="692"/>
      <c r="BR274" s="692"/>
      <c r="BS274" s="692"/>
      <c r="BT274" s="692"/>
      <c r="BU274" s="692"/>
      <c r="BV274" s="692"/>
      <c r="BW274" s="692"/>
      <c r="BX274" s="692"/>
      <c r="BY274" s="692"/>
      <c r="BZ274" s="692"/>
      <c r="CA274" s="692"/>
      <c r="CB274" s="692"/>
      <c r="CC274" s="692"/>
      <c r="CD274" s="692"/>
      <c r="CE274" s="692"/>
      <c r="CF274" s="692"/>
      <c r="CG274" s="692"/>
      <c r="CH274" s="692"/>
      <c r="CI274" s="692"/>
      <c r="CJ274" s="692"/>
      <c r="CK274" s="692"/>
      <c r="CL274" s="692"/>
      <c r="CM274" s="692"/>
      <c r="CN274" s="692"/>
      <c r="CO274" s="692"/>
      <c r="CP274" s="692"/>
      <c r="CQ274" s="692"/>
      <c r="CR274" s="692"/>
      <c r="CS274" s="692"/>
      <c r="CT274" s="692"/>
      <c r="CU274" s="692"/>
      <c r="CV274" s="692"/>
      <c r="CW274" s="692"/>
      <c r="CX274" s="692"/>
      <c r="CY274" s="692"/>
      <c r="CZ274" s="692"/>
      <c r="DA274" s="692"/>
      <c r="DB274" s="692"/>
      <c r="DC274" s="692"/>
      <c r="DD274" s="692"/>
      <c r="DE274" s="692"/>
      <c r="DF274" s="692"/>
      <c r="DG274" s="692"/>
      <c r="DH274" s="692"/>
      <c r="DI274" s="692"/>
      <c r="DJ274" s="692"/>
      <c r="DK274" s="692"/>
      <c r="DL274" s="692"/>
      <c r="DM274" s="692"/>
      <c r="DN274" s="692"/>
      <c r="DO274" s="692"/>
      <c r="DP274" s="692"/>
      <c r="DQ274" s="692"/>
      <c r="DR274" s="692"/>
      <c r="DS274" s="692"/>
      <c r="DT274" s="692"/>
      <c r="DU274" s="692"/>
      <c r="DV274" s="692"/>
      <c r="DW274" s="692"/>
      <c r="DX274" s="692"/>
      <c r="DY274" s="692"/>
      <c r="DZ274" s="692"/>
      <c r="EA274" s="692"/>
      <c r="EB274" s="692"/>
      <c r="EC274" s="692"/>
      <c r="ED274" s="692"/>
      <c r="EE274" s="692"/>
      <c r="EF274" s="692"/>
      <c r="EG274" s="692"/>
      <c r="EH274" s="692"/>
      <c r="EI274" s="692"/>
      <c r="EJ274" s="692"/>
      <c r="EK274" s="692"/>
      <c r="EL274" s="692"/>
      <c r="EM274" s="692"/>
      <c r="EN274" s="692"/>
      <c r="EO274" s="692"/>
      <c r="EP274" s="692"/>
      <c r="EQ274" s="692"/>
      <c r="ER274" s="692"/>
      <c r="ES274" s="692"/>
      <c r="ET274" s="692"/>
      <c r="EU274" s="692"/>
      <c r="EV274" s="692"/>
      <c r="EW274" s="692"/>
      <c r="EX274" s="692"/>
      <c r="EY274" s="692"/>
      <c r="EZ274" s="692"/>
      <c r="FA274" s="692"/>
      <c r="FB274" s="692"/>
      <c r="FC274" s="692"/>
      <c r="FD274" s="692"/>
      <c r="FE274" s="692"/>
      <c r="FF274" s="692"/>
      <c r="FG274" s="692"/>
      <c r="FH274" s="692"/>
      <c r="FI274" s="692"/>
      <c r="FJ274" s="692"/>
      <c r="FK274" s="692"/>
      <c r="FL274" s="692"/>
      <c r="FM274" s="692"/>
      <c r="FN274" s="692"/>
      <c r="FO274" s="692"/>
      <c r="FP274" s="692"/>
      <c r="FQ274" s="692"/>
      <c r="FR274" s="692"/>
      <c r="FS274" s="692"/>
      <c r="FT274" s="692"/>
      <c r="FU274" s="692"/>
      <c r="FV274" s="692"/>
      <c r="FW274" s="692"/>
      <c r="FX274" s="692"/>
      <c r="FY274" s="692"/>
      <c r="FZ274" s="692"/>
      <c r="GA274" s="692"/>
      <c r="GB274" s="692"/>
      <c r="GC274" s="692"/>
      <c r="GD274" s="692"/>
      <c r="GE274" s="692"/>
      <c r="GF274" s="692"/>
      <c r="GG274" s="692"/>
      <c r="GH274" s="692"/>
      <c r="GI274" s="692"/>
      <c r="GJ274" s="692"/>
      <c r="GK274" s="692"/>
      <c r="GL274" s="692"/>
      <c r="GM274" s="692"/>
      <c r="GN274" s="692"/>
      <c r="GO274" s="692"/>
      <c r="GP274" s="692"/>
      <c r="GQ274" s="692"/>
      <c r="GR274" s="692"/>
      <c r="GS274" s="692"/>
      <c r="GT274" s="692"/>
      <c r="GU274" s="692"/>
      <c r="GV274" s="692"/>
      <c r="GW274" s="692"/>
      <c r="GX274" s="692"/>
      <c r="GY274" s="692"/>
      <c r="GZ274" s="692"/>
      <c r="HA274" s="692"/>
      <c r="HB274" s="692"/>
      <c r="HC274" s="692"/>
      <c r="HD274" s="692"/>
      <c r="HE274" s="692"/>
      <c r="HF274" s="692"/>
      <c r="HG274" s="692"/>
      <c r="HH274" s="692"/>
      <c r="HI274" s="692"/>
      <c r="HJ274" s="692"/>
      <c r="HK274" s="692"/>
      <c r="HL274" s="692"/>
      <c r="HM274" s="692"/>
      <c r="HN274" s="692"/>
      <c r="HO274" s="692"/>
      <c r="HP274" s="692"/>
      <c r="HQ274" s="692"/>
      <c r="HR274" s="692"/>
      <c r="HS274" s="692"/>
      <c r="HT274" s="692"/>
      <c r="HU274" s="692"/>
      <c r="HV274" s="692"/>
      <c r="HW274" s="692"/>
      <c r="HX274" s="692"/>
      <c r="HY274" s="692"/>
      <c r="HZ274" s="692"/>
      <c r="IA274" s="692"/>
      <c r="IB274" s="692"/>
      <c r="IC274" s="692"/>
      <c r="ID274" s="692"/>
      <c r="IE274" s="692"/>
      <c r="IF274" s="692"/>
      <c r="IG274" s="692"/>
      <c r="IH274" s="692"/>
      <c r="II274" s="692"/>
      <c r="IJ274" s="692"/>
      <c r="IK274" s="692"/>
      <c r="IL274" s="692"/>
      <c r="IM274" s="692"/>
      <c r="IN274" s="692"/>
      <c r="IO274" s="692"/>
      <c r="IP274" s="692"/>
      <c r="IQ274" s="692"/>
      <c r="IR274" s="692"/>
      <c r="IS274" s="692"/>
      <c r="IT274" s="692"/>
      <c r="IU274" s="692"/>
      <c r="IV274" s="692"/>
      <c r="IW274" s="692"/>
      <c r="IX274" s="692"/>
      <c r="IY274" s="692"/>
      <c r="IZ274" s="692"/>
      <c r="JA274" s="692"/>
      <c r="JB274" s="692"/>
      <c r="JC274" s="692"/>
      <c r="JD274" s="692"/>
      <c r="JE274" s="692"/>
      <c r="JF274" s="692"/>
      <c r="JG274" s="692"/>
      <c r="JH274" s="692"/>
      <c r="JI274" s="692"/>
      <c r="JJ274" s="692"/>
      <c r="JK274" s="692"/>
      <c r="JL274" s="692"/>
      <c r="JM274" s="692"/>
      <c r="JN274" s="692"/>
      <c r="JO274" s="692"/>
      <c r="JP274" s="692"/>
      <c r="JQ274" s="692"/>
      <c r="JR274" s="692"/>
      <c r="JS274" s="692"/>
      <c r="JT274" s="692"/>
      <c r="JU274" s="692"/>
      <c r="JV274" s="692"/>
      <c r="JW274" s="692"/>
      <c r="JX274" s="692"/>
      <c r="JY274" s="692"/>
      <c r="JZ274" s="692"/>
      <c r="KA274" s="692"/>
      <c r="KB274" s="692"/>
      <c r="KC274" s="692"/>
      <c r="KD274" s="692"/>
      <c r="KE274" s="692"/>
      <c r="KF274" s="692"/>
      <c r="KG274" s="692"/>
      <c r="KH274" s="692"/>
      <c r="KI274" s="692"/>
      <c r="KJ274" s="692"/>
      <c r="KK274" s="692"/>
      <c r="KL274" s="692"/>
      <c r="KM274" s="692"/>
      <c r="KN274" s="692"/>
      <c r="KO274" s="692"/>
      <c r="KP274" s="692"/>
      <c r="KQ274" s="692"/>
      <c r="KR274" s="692"/>
      <c r="KS274" s="692"/>
      <c r="KT274" s="692"/>
      <c r="KU274" s="692"/>
      <c r="KV274" s="692"/>
      <c r="KW274" s="692"/>
      <c r="KX274" s="692"/>
      <c r="KY274" s="692"/>
      <c r="KZ274" s="692"/>
      <c r="LA274" s="692"/>
      <c r="LB274" s="692"/>
      <c r="LC274" s="692"/>
      <c r="LD274" s="692"/>
      <c r="LE274" s="692"/>
      <c r="LF274" s="692"/>
      <c r="LG274" s="692"/>
      <c r="LH274" s="692"/>
      <c r="LI274" s="692"/>
      <c r="LJ274" s="692"/>
      <c r="LK274" s="692"/>
      <c r="LL274" s="692"/>
      <c r="LM274" s="692"/>
      <c r="LN274" s="692"/>
      <c r="LO274" s="692"/>
      <c r="LP274" s="692"/>
      <c r="LQ274" s="692"/>
      <c r="LR274" s="692"/>
      <c r="LS274" s="692"/>
      <c r="LT274" s="692"/>
      <c r="LU274" s="692"/>
      <c r="LV274" s="692"/>
      <c r="LW274" s="692"/>
      <c r="LX274" s="692"/>
      <c r="LY274" s="692"/>
      <c r="LZ274" s="692"/>
      <c r="MA274" s="692"/>
      <c r="MB274" s="692"/>
      <c r="MC274" s="692"/>
      <c r="MD274" s="692"/>
      <c r="ME274" s="692"/>
      <c r="MF274" s="692"/>
      <c r="MG274" s="692"/>
      <c r="MH274" s="692"/>
      <c r="MI274" s="692"/>
      <c r="MJ274" s="692"/>
      <c r="MK274" s="692"/>
      <c r="ML274" s="692"/>
      <c r="MM274" s="692"/>
      <c r="MN274" s="692"/>
      <c r="MO274" s="692"/>
      <c r="MP274" s="692"/>
      <c r="MQ274" s="692"/>
      <c r="MR274" s="692"/>
      <c r="MS274" s="692"/>
      <c r="MT274" s="692"/>
      <c r="MU274" s="692"/>
      <c r="MV274" s="692"/>
      <c r="MW274" s="692"/>
      <c r="MX274" s="692"/>
      <c r="MY274" s="692"/>
      <c r="MZ274" s="692"/>
      <c r="NA274" s="692"/>
      <c r="NB274" s="692"/>
      <c r="NC274" s="692"/>
      <c r="ND274" s="692"/>
      <c r="NE274" s="692"/>
      <c r="NF274" s="692"/>
      <c r="NG274" s="692"/>
      <c r="NH274" s="692"/>
      <c r="NI274" s="692"/>
      <c r="NJ274" s="692"/>
      <c r="NK274" s="692"/>
      <c r="NL274" s="692"/>
      <c r="NM274" s="692"/>
      <c r="NN274" s="692"/>
      <c r="NO274" s="692"/>
      <c r="NP274" s="692"/>
      <c r="NQ274" s="692"/>
      <c r="NR274" s="692"/>
    </row>
    <row r="275" spans="1:382" ht="15.75" thickBot="1" x14ac:dyDescent="0.3">
      <c r="A275" s="680"/>
      <c r="B275" s="680"/>
      <c r="C275" s="512"/>
      <c r="D275" s="25"/>
      <c r="E275" s="25"/>
      <c r="F275" s="203"/>
      <c r="G275" s="692"/>
      <c r="H275" s="692"/>
      <c r="I275" s="692"/>
      <c r="J275" s="692"/>
      <c r="K275" s="692"/>
      <c r="L275" s="692"/>
      <c r="M275" s="692"/>
      <c r="N275" s="692"/>
      <c r="O275" s="692"/>
      <c r="P275" s="692"/>
      <c r="Q275" s="692"/>
      <c r="R275" s="692"/>
      <c r="S275" s="692"/>
      <c r="T275" s="692"/>
      <c r="U275" s="692"/>
      <c r="V275" s="692"/>
      <c r="W275" s="692"/>
      <c r="X275" s="692"/>
      <c r="Y275" s="692"/>
      <c r="Z275" s="692"/>
      <c r="AA275" s="692"/>
      <c r="AB275" s="692"/>
      <c r="AC275" s="692"/>
      <c r="AD275" s="692"/>
      <c r="AE275" s="692"/>
      <c r="AF275" s="692"/>
      <c r="AG275" s="692"/>
      <c r="AH275" s="692"/>
      <c r="AI275" s="692"/>
      <c r="AJ275" s="692"/>
      <c r="AK275" s="692"/>
      <c r="AL275" s="692"/>
      <c r="AM275" s="692"/>
      <c r="AN275" s="692"/>
      <c r="AO275" s="692"/>
      <c r="AP275" s="692"/>
      <c r="AQ275" s="692"/>
      <c r="AR275" s="692"/>
      <c r="AS275" s="692"/>
      <c r="AT275" s="692"/>
      <c r="AU275" s="692"/>
      <c r="AV275" s="692"/>
      <c r="AW275" s="692"/>
      <c r="AX275" s="692"/>
      <c r="AY275" s="692"/>
      <c r="AZ275" s="692"/>
      <c r="BA275" s="692"/>
      <c r="BB275" s="692"/>
      <c r="BC275" s="692"/>
      <c r="BD275" s="692"/>
      <c r="BE275" s="692"/>
      <c r="BF275" s="692"/>
      <c r="BG275" s="692"/>
      <c r="BH275" s="692"/>
      <c r="BI275" s="692"/>
      <c r="BJ275" s="692"/>
      <c r="BK275" s="692"/>
      <c r="BL275" s="692"/>
      <c r="BM275" s="692"/>
      <c r="BN275" s="692"/>
      <c r="BO275" s="692"/>
      <c r="BP275" s="692"/>
      <c r="BQ275" s="692"/>
      <c r="BR275" s="692"/>
      <c r="BS275" s="692"/>
      <c r="BT275" s="692"/>
      <c r="BU275" s="692"/>
      <c r="BV275" s="692"/>
      <c r="BW275" s="692"/>
      <c r="BX275" s="692"/>
      <c r="BY275" s="692"/>
      <c r="BZ275" s="692"/>
      <c r="CA275" s="692"/>
      <c r="CB275" s="692"/>
      <c r="CC275" s="692"/>
      <c r="CD275" s="692"/>
      <c r="CE275" s="692"/>
      <c r="CF275" s="692"/>
      <c r="CG275" s="692"/>
      <c r="CH275" s="692"/>
      <c r="CI275" s="692"/>
      <c r="CJ275" s="692"/>
      <c r="CK275" s="692"/>
      <c r="CL275" s="692"/>
      <c r="CM275" s="692"/>
      <c r="CN275" s="692"/>
      <c r="CO275" s="692"/>
      <c r="CP275" s="692"/>
      <c r="CQ275" s="692"/>
      <c r="CR275" s="692"/>
      <c r="CS275" s="692"/>
      <c r="CT275" s="692"/>
      <c r="CU275" s="692"/>
      <c r="CV275" s="692"/>
      <c r="CW275" s="692"/>
      <c r="CX275" s="692"/>
      <c r="CY275" s="692"/>
      <c r="CZ275" s="692"/>
      <c r="DA275" s="692"/>
      <c r="DB275" s="692"/>
      <c r="DC275" s="692"/>
      <c r="DD275" s="692"/>
      <c r="DE275" s="692"/>
      <c r="DF275" s="692"/>
      <c r="DG275" s="692"/>
      <c r="DH275" s="692"/>
      <c r="DI275" s="692"/>
      <c r="DJ275" s="692"/>
      <c r="DK275" s="692"/>
      <c r="DL275" s="692"/>
      <c r="DM275" s="692"/>
      <c r="DN275" s="692"/>
      <c r="DO275" s="692"/>
      <c r="DP275" s="692"/>
      <c r="DQ275" s="692"/>
      <c r="DR275" s="692"/>
      <c r="DS275" s="692"/>
      <c r="DT275" s="692"/>
      <c r="DU275" s="692"/>
      <c r="DV275" s="692"/>
      <c r="DW275" s="692"/>
      <c r="DX275" s="692"/>
      <c r="DY275" s="692"/>
      <c r="DZ275" s="692"/>
      <c r="EA275" s="692"/>
      <c r="EB275" s="692"/>
      <c r="EC275" s="692"/>
      <c r="ED275" s="692"/>
      <c r="EE275" s="692"/>
      <c r="EF275" s="692"/>
      <c r="EG275" s="692"/>
      <c r="EH275" s="692"/>
      <c r="EI275" s="692"/>
      <c r="EJ275" s="692"/>
      <c r="EK275" s="692"/>
      <c r="EL275" s="692"/>
      <c r="EM275" s="692"/>
      <c r="EN275" s="692"/>
      <c r="EO275" s="692"/>
      <c r="EP275" s="692"/>
      <c r="EQ275" s="692"/>
      <c r="ER275" s="692"/>
      <c r="ES275" s="692"/>
      <c r="ET275" s="692"/>
      <c r="EU275" s="692"/>
      <c r="EV275" s="692"/>
      <c r="EW275" s="692"/>
      <c r="EX275" s="692"/>
      <c r="EY275" s="692"/>
      <c r="EZ275" s="692"/>
      <c r="FA275" s="692"/>
      <c r="FB275" s="692"/>
      <c r="FC275" s="692"/>
      <c r="FD275" s="692"/>
      <c r="FE275" s="692"/>
      <c r="FF275" s="692"/>
      <c r="FG275" s="692"/>
      <c r="FH275" s="692"/>
      <c r="FI275" s="692"/>
      <c r="FJ275" s="692"/>
      <c r="FK275" s="692"/>
      <c r="FL275" s="692"/>
      <c r="FM275" s="692"/>
      <c r="FN275" s="692"/>
      <c r="FO275" s="692"/>
      <c r="FP275" s="692"/>
      <c r="FQ275" s="692"/>
      <c r="FR275" s="692"/>
      <c r="FS275" s="692"/>
      <c r="FT275" s="692"/>
      <c r="FU275" s="692"/>
      <c r="FV275" s="692"/>
      <c r="FW275" s="692"/>
      <c r="FX275" s="692"/>
      <c r="FY275" s="692"/>
      <c r="FZ275" s="692"/>
      <c r="GA275" s="692"/>
      <c r="GB275" s="692"/>
      <c r="GC275" s="692"/>
      <c r="GD275" s="692"/>
      <c r="GE275" s="692"/>
      <c r="GF275" s="692"/>
      <c r="GG275" s="692"/>
      <c r="GH275" s="692"/>
      <c r="GI275" s="692"/>
      <c r="GJ275" s="692"/>
      <c r="GK275" s="692"/>
      <c r="GL275" s="692"/>
      <c r="GM275" s="692"/>
      <c r="GN275" s="692"/>
      <c r="GO275" s="692"/>
      <c r="GP275" s="692"/>
      <c r="GQ275" s="692"/>
      <c r="GR275" s="692"/>
      <c r="GS275" s="692"/>
      <c r="GT275" s="692"/>
      <c r="GU275" s="692"/>
      <c r="GV275" s="692"/>
      <c r="GW275" s="692"/>
      <c r="GX275" s="692"/>
      <c r="GY275" s="692"/>
      <c r="GZ275" s="692"/>
      <c r="HA275" s="692"/>
      <c r="HB275" s="692"/>
      <c r="HC275" s="692"/>
      <c r="HD275" s="692"/>
      <c r="HE275" s="692"/>
      <c r="HF275" s="692"/>
      <c r="HG275" s="692"/>
      <c r="HH275" s="692"/>
      <c r="HI275" s="692"/>
      <c r="HJ275" s="692"/>
      <c r="HK275" s="692"/>
      <c r="HL275" s="692"/>
      <c r="HM275" s="692"/>
      <c r="HN275" s="692"/>
      <c r="HO275" s="692"/>
      <c r="HP275" s="692"/>
      <c r="HQ275" s="692"/>
      <c r="HR275" s="692"/>
      <c r="HS275" s="692"/>
      <c r="HT275" s="692"/>
      <c r="HU275" s="692"/>
      <c r="HV275" s="692"/>
      <c r="HW275" s="692"/>
      <c r="HX275" s="692"/>
      <c r="HY275" s="692"/>
      <c r="HZ275" s="692"/>
      <c r="IA275" s="692"/>
      <c r="IB275" s="692"/>
      <c r="IC275" s="692"/>
      <c r="ID275" s="692"/>
      <c r="IE275" s="692"/>
      <c r="IF275" s="692"/>
      <c r="IG275" s="692"/>
      <c r="IH275" s="692"/>
      <c r="II275" s="692"/>
      <c r="IJ275" s="692"/>
      <c r="IK275" s="692"/>
      <c r="IL275" s="692"/>
      <c r="IM275" s="692"/>
      <c r="IN275" s="692"/>
      <c r="IO275" s="692"/>
      <c r="IP275" s="692"/>
      <c r="IQ275" s="692"/>
      <c r="IR275" s="692"/>
      <c r="IS275" s="692"/>
      <c r="IT275" s="692"/>
      <c r="IU275" s="692"/>
      <c r="IV275" s="692"/>
      <c r="IW275" s="692"/>
      <c r="IX275" s="692"/>
      <c r="IY275" s="692"/>
      <c r="IZ275" s="692"/>
      <c r="JA275" s="692"/>
      <c r="JB275" s="692"/>
      <c r="JC275" s="692"/>
      <c r="JD275" s="692"/>
      <c r="JE275" s="692"/>
      <c r="JF275" s="692"/>
      <c r="JG275" s="692"/>
      <c r="JH275" s="692"/>
      <c r="JI275" s="692"/>
      <c r="JJ275" s="692"/>
      <c r="JK275" s="692"/>
      <c r="JL275" s="692"/>
      <c r="JM275" s="692"/>
      <c r="JN275" s="692"/>
      <c r="JO275" s="692"/>
      <c r="JP275" s="692"/>
      <c r="JQ275" s="692"/>
      <c r="JR275" s="692"/>
      <c r="JS275" s="692"/>
      <c r="JT275" s="692"/>
      <c r="JU275" s="692"/>
      <c r="JV275" s="692"/>
      <c r="JW275" s="692"/>
      <c r="JX275" s="692"/>
      <c r="JY275" s="692"/>
      <c r="JZ275" s="692"/>
      <c r="KA275" s="692"/>
      <c r="KB275" s="692"/>
      <c r="KC275" s="692"/>
      <c r="KD275" s="692"/>
      <c r="KE275" s="692"/>
      <c r="KF275" s="692"/>
      <c r="KG275" s="692"/>
      <c r="KH275" s="692"/>
      <c r="KI275" s="692"/>
      <c r="KJ275" s="692"/>
      <c r="KK275" s="692"/>
      <c r="KL275" s="692"/>
      <c r="KM275" s="692"/>
      <c r="KN275" s="692"/>
      <c r="KO275" s="692"/>
      <c r="KP275" s="692"/>
      <c r="KQ275" s="692"/>
      <c r="KR275" s="692"/>
      <c r="KS275" s="692"/>
      <c r="KT275" s="692"/>
      <c r="KU275" s="692"/>
      <c r="KV275" s="692"/>
      <c r="KW275" s="692"/>
      <c r="KX275" s="692"/>
      <c r="KY275" s="692"/>
      <c r="KZ275" s="692"/>
      <c r="LA275" s="692"/>
      <c r="LB275" s="692"/>
      <c r="LC275" s="692"/>
      <c r="LD275" s="692"/>
      <c r="LE275" s="692"/>
      <c r="LF275" s="692"/>
      <c r="LG275" s="692"/>
      <c r="LH275" s="692"/>
      <c r="LI275" s="692"/>
      <c r="LJ275" s="692"/>
      <c r="LK275" s="692"/>
      <c r="LL275" s="692"/>
      <c r="LM275" s="692"/>
      <c r="LN275" s="692"/>
      <c r="LO275" s="692"/>
      <c r="LP275" s="692"/>
      <c r="LQ275" s="692"/>
      <c r="LR275" s="692"/>
      <c r="LS275" s="692"/>
      <c r="LT275" s="692"/>
      <c r="LU275" s="692"/>
      <c r="LV275" s="692"/>
      <c r="LW275" s="692"/>
      <c r="LX275" s="692"/>
      <c r="LY275" s="692"/>
      <c r="LZ275" s="692"/>
      <c r="MA275" s="692"/>
      <c r="MB275" s="692"/>
      <c r="MC275" s="692"/>
      <c r="MD275" s="692"/>
      <c r="ME275" s="692"/>
      <c r="MF275" s="692"/>
      <c r="MG275" s="692"/>
      <c r="MH275" s="692"/>
      <c r="MI275" s="692"/>
      <c r="MJ275" s="692"/>
      <c r="MK275" s="692"/>
      <c r="ML275" s="692"/>
      <c r="MM275" s="692"/>
      <c r="MN275" s="692"/>
      <c r="MO275" s="692"/>
      <c r="MP275" s="692"/>
      <c r="MQ275" s="692"/>
      <c r="MR275" s="692"/>
      <c r="MS275" s="692"/>
      <c r="MT275" s="692"/>
      <c r="MU275" s="692"/>
      <c r="MV275" s="692"/>
      <c r="MW275" s="692"/>
      <c r="MX275" s="692"/>
      <c r="MY275" s="692"/>
      <c r="MZ275" s="692"/>
      <c r="NA275" s="692"/>
      <c r="NB275" s="692"/>
      <c r="NC275" s="692"/>
      <c r="ND275" s="692"/>
      <c r="NE275" s="692"/>
      <c r="NF275" s="692"/>
      <c r="NG275" s="692"/>
      <c r="NH275" s="692"/>
      <c r="NI275" s="692"/>
      <c r="NJ275" s="692"/>
      <c r="NK275" s="692"/>
      <c r="NL275" s="692"/>
      <c r="NM275" s="692"/>
      <c r="NN275" s="692"/>
      <c r="NO275" s="692"/>
      <c r="NP275" s="692"/>
      <c r="NQ275" s="692"/>
      <c r="NR275" s="692"/>
    </row>
    <row r="276" spans="1:382" ht="15.75" thickBot="1" x14ac:dyDescent="0.3">
      <c r="A276" s="25"/>
      <c r="B276" s="125" t="s">
        <v>1723</v>
      </c>
      <c r="C276" s="509"/>
      <c r="D276" s="680"/>
      <c r="E276" s="25"/>
      <c r="F276" s="203"/>
      <c r="G276" s="692"/>
      <c r="H276" s="692"/>
      <c r="I276" s="692"/>
      <c r="J276" s="692"/>
      <c r="K276" s="692"/>
      <c r="L276" s="692"/>
      <c r="M276" s="692"/>
      <c r="N276" s="692"/>
      <c r="O276" s="692"/>
      <c r="P276" s="692"/>
      <c r="Q276" s="692"/>
      <c r="R276" s="692"/>
      <c r="S276" s="692"/>
      <c r="T276" s="692"/>
      <c r="U276" s="692"/>
      <c r="V276" s="692"/>
      <c r="W276" s="692"/>
      <c r="X276" s="692"/>
      <c r="Y276" s="692"/>
      <c r="Z276" s="692"/>
      <c r="AA276" s="692"/>
      <c r="AB276" s="692"/>
      <c r="AC276" s="692"/>
      <c r="AD276" s="692"/>
      <c r="AE276" s="692"/>
      <c r="AF276" s="692"/>
      <c r="AG276" s="692"/>
      <c r="AH276" s="692"/>
      <c r="AI276" s="692"/>
      <c r="AJ276" s="692"/>
      <c r="AK276" s="692"/>
      <c r="AL276" s="692"/>
      <c r="AM276" s="692"/>
      <c r="AN276" s="692"/>
      <c r="AO276" s="692"/>
      <c r="AP276" s="692"/>
      <c r="AQ276" s="692"/>
      <c r="AR276" s="692"/>
      <c r="AS276" s="692"/>
      <c r="AT276" s="692"/>
      <c r="AU276" s="692"/>
      <c r="AV276" s="692"/>
      <c r="AW276" s="692"/>
      <c r="AX276" s="692"/>
      <c r="AY276" s="692"/>
      <c r="AZ276" s="692"/>
      <c r="BA276" s="692"/>
      <c r="BB276" s="692"/>
      <c r="BC276" s="692"/>
      <c r="BD276" s="692"/>
      <c r="BE276" s="692"/>
      <c r="BF276" s="692"/>
      <c r="BG276" s="692"/>
      <c r="BH276" s="692"/>
      <c r="BI276" s="692"/>
      <c r="BJ276" s="692"/>
      <c r="BK276" s="692"/>
      <c r="BL276" s="692"/>
      <c r="BM276" s="692"/>
      <c r="BN276" s="692"/>
      <c r="BO276" s="692"/>
      <c r="BP276" s="692"/>
      <c r="BQ276" s="692"/>
      <c r="BR276" s="692"/>
      <c r="BS276" s="692"/>
      <c r="BT276" s="692"/>
      <c r="BU276" s="692"/>
      <c r="BV276" s="692"/>
      <c r="BW276" s="692"/>
      <c r="BX276" s="692"/>
      <c r="BY276" s="692"/>
      <c r="BZ276" s="692"/>
      <c r="CA276" s="692"/>
      <c r="CB276" s="692"/>
      <c r="CC276" s="692"/>
      <c r="CD276" s="692"/>
      <c r="CE276" s="692"/>
      <c r="CF276" s="692"/>
      <c r="CG276" s="692"/>
      <c r="CH276" s="692"/>
      <c r="CI276" s="692"/>
      <c r="CJ276" s="692"/>
      <c r="CK276" s="692"/>
      <c r="CL276" s="692"/>
      <c r="CM276" s="692"/>
      <c r="CN276" s="692"/>
      <c r="CO276" s="692"/>
      <c r="CP276" s="692"/>
      <c r="CQ276" s="692"/>
      <c r="CR276" s="692"/>
      <c r="CS276" s="692"/>
      <c r="CT276" s="692"/>
      <c r="CU276" s="692"/>
      <c r="CV276" s="692"/>
      <c r="CW276" s="692"/>
      <c r="CX276" s="692"/>
      <c r="CY276" s="692"/>
      <c r="CZ276" s="692"/>
      <c r="DA276" s="692"/>
      <c r="DB276" s="692"/>
      <c r="DC276" s="692"/>
      <c r="DD276" s="692"/>
      <c r="DE276" s="692"/>
      <c r="DF276" s="692"/>
      <c r="DG276" s="692"/>
      <c r="DH276" s="692"/>
      <c r="DI276" s="692"/>
      <c r="DJ276" s="692"/>
      <c r="DK276" s="692"/>
      <c r="DL276" s="692"/>
      <c r="DM276" s="692"/>
      <c r="DN276" s="692"/>
      <c r="DO276" s="692"/>
      <c r="DP276" s="692"/>
      <c r="DQ276" s="692"/>
      <c r="DR276" s="692"/>
      <c r="DS276" s="692"/>
      <c r="DT276" s="692"/>
      <c r="DU276" s="692"/>
      <c r="DV276" s="692"/>
      <c r="DW276" s="692"/>
      <c r="DX276" s="692"/>
      <c r="DY276" s="692"/>
      <c r="DZ276" s="692"/>
      <c r="EA276" s="692"/>
      <c r="EB276" s="692"/>
      <c r="EC276" s="692"/>
      <c r="ED276" s="692"/>
      <c r="EE276" s="692"/>
      <c r="EF276" s="692"/>
      <c r="EG276" s="692"/>
      <c r="EH276" s="692"/>
      <c r="EI276" s="692"/>
      <c r="EJ276" s="692"/>
      <c r="EK276" s="692"/>
      <c r="EL276" s="692"/>
      <c r="EM276" s="692"/>
      <c r="EN276" s="692"/>
      <c r="EO276" s="692"/>
      <c r="EP276" s="692"/>
      <c r="EQ276" s="692"/>
      <c r="ER276" s="692"/>
      <c r="ES276" s="692"/>
      <c r="ET276" s="692"/>
      <c r="EU276" s="692"/>
      <c r="EV276" s="692"/>
      <c r="EW276" s="692"/>
      <c r="EX276" s="692"/>
      <c r="EY276" s="692"/>
      <c r="EZ276" s="692"/>
      <c r="FA276" s="692"/>
      <c r="FB276" s="692"/>
      <c r="FC276" s="692"/>
      <c r="FD276" s="692"/>
      <c r="FE276" s="692"/>
      <c r="FF276" s="692"/>
      <c r="FG276" s="692"/>
      <c r="FH276" s="692"/>
      <c r="FI276" s="692"/>
      <c r="FJ276" s="692"/>
      <c r="FK276" s="692"/>
      <c r="FL276" s="692"/>
      <c r="FM276" s="692"/>
      <c r="FN276" s="692"/>
      <c r="FO276" s="692"/>
      <c r="FP276" s="692"/>
      <c r="FQ276" s="692"/>
      <c r="FR276" s="692"/>
      <c r="FS276" s="692"/>
      <c r="FT276" s="692"/>
      <c r="FU276" s="692"/>
      <c r="FV276" s="692"/>
      <c r="FW276" s="692"/>
      <c r="FX276" s="692"/>
      <c r="FY276" s="692"/>
      <c r="FZ276" s="692"/>
      <c r="GA276" s="692"/>
      <c r="GB276" s="692"/>
      <c r="GC276" s="692"/>
      <c r="GD276" s="692"/>
      <c r="GE276" s="692"/>
      <c r="GF276" s="692"/>
      <c r="GG276" s="692"/>
      <c r="GH276" s="692"/>
      <c r="GI276" s="692"/>
      <c r="GJ276" s="692"/>
      <c r="GK276" s="692"/>
      <c r="GL276" s="692"/>
      <c r="GM276" s="692"/>
      <c r="GN276" s="692"/>
      <c r="GO276" s="692"/>
      <c r="GP276" s="692"/>
      <c r="GQ276" s="692"/>
      <c r="GR276" s="692"/>
      <c r="GS276" s="692"/>
      <c r="GT276" s="692"/>
      <c r="GU276" s="692"/>
      <c r="GV276" s="692"/>
      <c r="GW276" s="692"/>
      <c r="GX276" s="692"/>
      <c r="GY276" s="692"/>
      <c r="GZ276" s="692"/>
      <c r="HA276" s="692"/>
      <c r="HB276" s="692"/>
      <c r="HC276" s="692"/>
      <c r="HD276" s="692"/>
      <c r="HE276" s="692"/>
      <c r="HF276" s="692"/>
      <c r="HG276" s="692"/>
      <c r="HH276" s="692"/>
      <c r="HI276" s="692"/>
      <c r="HJ276" s="692"/>
      <c r="HK276" s="692"/>
      <c r="HL276" s="692"/>
      <c r="HM276" s="692"/>
      <c r="HN276" s="692"/>
      <c r="HO276" s="692"/>
      <c r="HP276" s="692"/>
      <c r="HQ276" s="692"/>
      <c r="HR276" s="692"/>
      <c r="HS276" s="692"/>
      <c r="HT276" s="692"/>
      <c r="HU276" s="692"/>
      <c r="HV276" s="692"/>
      <c r="HW276" s="692"/>
      <c r="HX276" s="692"/>
      <c r="HY276" s="692"/>
      <c r="HZ276" s="692"/>
      <c r="IA276" s="692"/>
      <c r="IB276" s="692"/>
      <c r="IC276" s="692"/>
      <c r="ID276" s="692"/>
      <c r="IE276" s="692"/>
      <c r="IF276" s="692"/>
      <c r="IG276" s="692"/>
      <c r="IH276" s="692"/>
      <c r="II276" s="692"/>
      <c r="IJ276" s="692"/>
      <c r="IK276" s="692"/>
      <c r="IL276" s="692"/>
      <c r="IM276" s="692"/>
      <c r="IN276" s="692"/>
      <c r="IO276" s="692"/>
      <c r="IP276" s="692"/>
      <c r="IQ276" s="692"/>
      <c r="IR276" s="692"/>
      <c r="IS276" s="692"/>
      <c r="IT276" s="692"/>
      <c r="IU276" s="692"/>
      <c r="IV276" s="692"/>
      <c r="IW276" s="692"/>
      <c r="IX276" s="692"/>
      <c r="IY276" s="692"/>
      <c r="IZ276" s="692"/>
      <c r="JA276" s="692"/>
      <c r="JB276" s="692"/>
      <c r="JC276" s="692"/>
      <c r="JD276" s="692"/>
      <c r="JE276" s="692"/>
      <c r="JF276" s="692"/>
      <c r="JG276" s="692"/>
      <c r="JH276" s="692"/>
      <c r="JI276" s="692"/>
      <c r="JJ276" s="692"/>
      <c r="JK276" s="692"/>
      <c r="JL276" s="692"/>
      <c r="JM276" s="692"/>
      <c r="JN276" s="692"/>
      <c r="JO276" s="692"/>
      <c r="JP276" s="692"/>
      <c r="JQ276" s="692"/>
      <c r="JR276" s="692"/>
      <c r="JS276" s="692"/>
      <c r="JT276" s="692"/>
      <c r="JU276" s="692"/>
      <c r="JV276" s="692"/>
      <c r="JW276" s="692"/>
      <c r="JX276" s="692"/>
      <c r="JY276" s="692"/>
      <c r="JZ276" s="692"/>
      <c r="KA276" s="692"/>
      <c r="KB276" s="692"/>
      <c r="KC276" s="692"/>
      <c r="KD276" s="692"/>
      <c r="KE276" s="692"/>
      <c r="KF276" s="692"/>
      <c r="KG276" s="692"/>
      <c r="KH276" s="692"/>
      <c r="KI276" s="692"/>
      <c r="KJ276" s="692"/>
      <c r="KK276" s="692"/>
      <c r="KL276" s="692"/>
      <c r="KM276" s="692"/>
      <c r="KN276" s="692"/>
      <c r="KO276" s="692"/>
      <c r="KP276" s="692"/>
      <c r="KQ276" s="692"/>
      <c r="KR276" s="692"/>
      <c r="KS276" s="692"/>
      <c r="KT276" s="692"/>
      <c r="KU276" s="692"/>
      <c r="KV276" s="692"/>
      <c r="KW276" s="692"/>
      <c r="KX276" s="692"/>
      <c r="KY276" s="692"/>
      <c r="KZ276" s="692"/>
      <c r="LA276" s="692"/>
      <c r="LB276" s="692"/>
      <c r="LC276" s="692"/>
      <c r="LD276" s="692"/>
      <c r="LE276" s="692"/>
      <c r="LF276" s="692"/>
      <c r="LG276" s="692"/>
      <c r="LH276" s="692"/>
      <c r="LI276" s="692"/>
      <c r="LJ276" s="692"/>
      <c r="LK276" s="692"/>
      <c r="LL276" s="692"/>
      <c r="LM276" s="692"/>
      <c r="LN276" s="692"/>
      <c r="LO276" s="692"/>
      <c r="LP276" s="692"/>
      <c r="LQ276" s="692"/>
      <c r="LR276" s="692"/>
      <c r="LS276" s="692"/>
      <c r="LT276" s="692"/>
      <c r="LU276" s="692"/>
      <c r="LV276" s="692"/>
      <c r="LW276" s="692"/>
      <c r="LX276" s="692"/>
      <c r="LY276" s="692"/>
      <c r="LZ276" s="692"/>
      <c r="MA276" s="692"/>
      <c r="MB276" s="692"/>
      <c r="MC276" s="692"/>
      <c r="MD276" s="692"/>
      <c r="ME276" s="692"/>
      <c r="MF276" s="692"/>
      <c r="MG276" s="692"/>
      <c r="MH276" s="692"/>
      <c r="MI276" s="692"/>
      <c r="MJ276" s="692"/>
      <c r="MK276" s="692"/>
      <c r="ML276" s="692"/>
      <c r="MM276" s="692"/>
      <c r="MN276" s="692"/>
      <c r="MO276" s="692"/>
      <c r="MP276" s="692"/>
      <c r="MQ276" s="692"/>
      <c r="MR276" s="692"/>
      <c r="MS276" s="692"/>
      <c r="MT276" s="692"/>
      <c r="MU276" s="692"/>
      <c r="MV276" s="692"/>
      <c r="MW276" s="692"/>
      <c r="MX276" s="692"/>
      <c r="MY276" s="692"/>
      <c r="MZ276" s="692"/>
      <c r="NA276" s="692"/>
      <c r="NB276" s="692"/>
      <c r="NC276" s="692"/>
      <c r="ND276" s="692"/>
      <c r="NE276" s="692"/>
      <c r="NF276" s="692"/>
      <c r="NG276" s="692"/>
      <c r="NH276" s="692"/>
      <c r="NI276" s="692"/>
      <c r="NJ276" s="692"/>
      <c r="NK276" s="692"/>
      <c r="NL276" s="692"/>
      <c r="NM276" s="692"/>
      <c r="NN276" s="692"/>
      <c r="NO276" s="692"/>
      <c r="NP276" s="692"/>
      <c r="NQ276" s="692"/>
      <c r="NR276" s="692"/>
    </row>
    <row r="277" spans="1:382" ht="15.75" thickBot="1" x14ac:dyDescent="0.3">
      <c r="A277" s="681"/>
      <c r="B277" s="122"/>
      <c r="C277" s="509"/>
      <c r="D277" s="680"/>
      <c r="E277" s="25"/>
      <c r="F277" s="203"/>
      <c r="G277" s="692"/>
      <c r="H277" s="692"/>
      <c r="I277" s="692"/>
      <c r="J277" s="692"/>
      <c r="K277" s="692"/>
      <c r="L277" s="692"/>
      <c r="M277" s="692"/>
      <c r="N277" s="692"/>
      <c r="O277" s="692"/>
      <c r="P277" s="692"/>
      <c r="Q277" s="692"/>
      <c r="R277" s="692"/>
      <c r="S277" s="692"/>
      <c r="T277" s="692"/>
      <c r="U277" s="692"/>
      <c r="V277" s="692"/>
      <c r="W277" s="692"/>
      <c r="X277" s="692"/>
      <c r="Y277" s="692"/>
      <c r="Z277" s="692"/>
      <c r="AA277" s="692"/>
      <c r="AB277" s="692"/>
      <c r="AC277" s="692"/>
      <c r="AD277" s="692"/>
      <c r="AE277" s="692"/>
      <c r="AF277" s="692"/>
      <c r="AG277" s="692"/>
      <c r="AH277" s="692"/>
      <c r="AI277" s="692"/>
      <c r="AJ277" s="692"/>
      <c r="AK277" s="692"/>
      <c r="AL277" s="692"/>
      <c r="AM277" s="692"/>
      <c r="AN277" s="692"/>
      <c r="AO277" s="692"/>
      <c r="AP277" s="692"/>
      <c r="AQ277" s="692"/>
      <c r="AR277" s="692"/>
      <c r="AS277" s="692"/>
      <c r="AT277" s="692"/>
      <c r="AU277" s="692"/>
      <c r="AV277" s="692"/>
      <c r="AW277" s="692"/>
      <c r="AX277" s="692"/>
      <c r="AY277" s="692"/>
      <c r="AZ277" s="692"/>
      <c r="BA277" s="692"/>
      <c r="BB277" s="692"/>
      <c r="BC277" s="692"/>
      <c r="BD277" s="692"/>
      <c r="BE277" s="692"/>
      <c r="BF277" s="692"/>
      <c r="BG277" s="692"/>
      <c r="BH277" s="692"/>
      <c r="BI277" s="692"/>
      <c r="BJ277" s="692"/>
      <c r="BK277" s="692"/>
      <c r="BL277" s="692"/>
      <c r="BM277" s="692"/>
      <c r="BN277" s="692"/>
      <c r="BO277" s="692"/>
      <c r="BP277" s="692"/>
      <c r="BQ277" s="692"/>
      <c r="BR277" s="692"/>
      <c r="BS277" s="692"/>
      <c r="BT277" s="692"/>
      <c r="BU277" s="692"/>
      <c r="BV277" s="692"/>
      <c r="BW277" s="692"/>
      <c r="BX277" s="692"/>
      <c r="BY277" s="692"/>
      <c r="BZ277" s="692"/>
      <c r="CA277" s="692"/>
      <c r="CB277" s="692"/>
      <c r="CC277" s="692"/>
      <c r="CD277" s="692"/>
      <c r="CE277" s="692"/>
      <c r="CF277" s="692"/>
      <c r="CG277" s="692"/>
      <c r="CH277" s="692"/>
      <c r="CI277" s="692"/>
      <c r="CJ277" s="692"/>
      <c r="CK277" s="692"/>
      <c r="CL277" s="692"/>
      <c r="CM277" s="692"/>
      <c r="CN277" s="692"/>
      <c r="CO277" s="692"/>
      <c r="CP277" s="692"/>
      <c r="CQ277" s="692"/>
      <c r="CR277" s="692"/>
      <c r="CS277" s="692"/>
      <c r="CT277" s="692"/>
      <c r="CU277" s="692"/>
      <c r="CV277" s="692"/>
      <c r="CW277" s="692"/>
      <c r="CX277" s="692"/>
      <c r="CY277" s="692"/>
      <c r="CZ277" s="692"/>
      <c r="DA277" s="692"/>
      <c r="DB277" s="692"/>
      <c r="DC277" s="692"/>
      <c r="DD277" s="692"/>
      <c r="DE277" s="692"/>
      <c r="DF277" s="692"/>
      <c r="DG277" s="692"/>
      <c r="DH277" s="692"/>
      <c r="DI277" s="692"/>
      <c r="DJ277" s="692"/>
      <c r="DK277" s="692"/>
      <c r="DL277" s="692"/>
      <c r="DM277" s="692"/>
      <c r="DN277" s="692"/>
      <c r="DO277" s="692"/>
      <c r="DP277" s="692"/>
      <c r="DQ277" s="692"/>
      <c r="DR277" s="692"/>
      <c r="DS277" s="692"/>
      <c r="DT277" s="692"/>
      <c r="DU277" s="692"/>
      <c r="DV277" s="692"/>
      <c r="DW277" s="692"/>
      <c r="DX277" s="692"/>
      <c r="DY277" s="692"/>
      <c r="DZ277" s="692"/>
      <c r="EA277" s="692"/>
      <c r="EB277" s="692"/>
      <c r="EC277" s="692"/>
      <c r="ED277" s="692"/>
      <c r="EE277" s="692"/>
      <c r="EF277" s="692"/>
      <c r="EG277" s="692"/>
      <c r="EH277" s="692"/>
      <c r="EI277" s="692"/>
      <c r="EJ277" s="692"/>
      <c r="EK277" s="692"/>
      <c r="EL277" s="692"/>
      <c r="EM277" s="692"/>
      <c r="EN277" s="692"/>
      <c r="EO277" s="692"/>
      <c r="EP277" s="692"/>
      <c r="EQ277" s="692"/>
      <c r="ER277" s="692"/>
      <c r="ES277" s="692"/>
      <c r="ET277" s="692"/>
      <c r="EU277" s="692"/>
      <c r="EV277" s="692"/>
      <c r="EW277" s="692"/>
      <c r="EX277" s="692"/>
      <c r="EY277" s="692"/>
      <c r="EZ277" s="692"/>
      <c r="FA277" s="692"/>
      <c r="FB277" s="692"/>
      <c r="FC277" s="692"/>
      <c r="FD277" s="692"/>
      <c r="FE277" s="692"/>
      <c r="FF277" s="692"/>
      <c r="FG277" s="692"/>
      <c r="FH277" s="692"/>
      <c r="FI277" s="692"/>
      <c r="FJ277" s="692"/>
      <c r="FK277" s="692"/>
      <c r="FL277" s="692"/>
      <c r="FM277" s="692"/>
      <c r="FN277" s="692"/>
      <c r="FO277" s="692"/>
      <c r="FP277" s="692"/>
      <c r="FQ277" s="692"/>
      <c r="FR277" s="692"/>
      <c r="FS277" s="692"/>
      <c r="FT277" s="692"/>
      <c r="FU277" s="692"/>
      <c r="FV277" s="692"/>
      <c r="FW277" s="692"/>
      <c r="FX277" s="692"/>
      <c r="FY277" s="692"/>
      <c r="FZ277" s="692"/>
      <c r="GA277" s="692"/>
      <c r="GB277" s="692"/>
      <c r="GC277" s="692"/>
      <c r="GD277" s="692"/>
      <c r="GE277" s="692"/>
      <c r="GF277" s="692"/>
      <c r="GG277" s="692"/>
      <c r="GH277" s="692"/>
      <c r="GI277" s="692"/>
      <c r="GJ277" s="692"/>
      <c r="GK277" s="692"/>
      <c r="GL277" s="692"/>
      <c r="GM277" s="692"/>
      <c r="GN277" s="692"/>
      <c r="GO277" s="692"/>
      <c r="GP277" s="692"/>
      <c r="GQ277" s="692"/>
      <c r="GR277" s="692"/>
      <c r="GS277" s="692"/>
      <c r="GT277" s="692"/>
      <c r="GU277" s="692"/>
      <c r="GV277" s="692"/>
      <c r="GW277" s="692"/>
      <c r="GX277" s="692"/>
      <c r="GY277" s="692"/>
      <c r="GZ277" s="692"/>
      <c r="HA277" s="692"/>
      <c r="HB277" s="692"/>
      <c r="HC277" s="692"/>
      <c r="HD277" s="692"/>
      <c r="HE277" s="692"/>
      <c r="HF277" s="692"/>
      <c r="HG277" s="692"/>
      <c r="HH277" s="692"/>
      <c r="HI277" s="692"/>
      <c r="HJ277" s="692"/>
      <c r="HK277" s="692"/>
      <c r="HL277" s="692"/>
      <c r="HM277" s="692"/>
      <c r="HN277" s="692"/>
      <c r="HO277" s="692"/>
      <c r="HP277" s="692"/>
      <c r="HQ277" s="692"/>
      <c r="HR277" s="692"/>
      <c r="HS277" s="692"/>
      <c r="HT277" s="692"/>
      <c r="HU277" s="692"/>
      <c r="HV277" s="692"/>
      <c r="HW277" s="692"/>
      <c r="HX277" s="692"/>
      <c r="HY277" s="692"/>
      <c r="HZ277" s="692"/>
      <c r="IA277" s="692"/>
      <c r="IB277" s="692"/>
      <c r="IC277" s="692"/>
      <c r="ID277" s="692"/>
      <c r="IE277" s="692"/>
      <c r="IF277" s="692"/>
      <c r="IG277" s="692"/>
      <c r="IH277" s="692"/>
      <c r="II277" s="692"/>
      <c r="IJ277" s="692"/>
      <c r="IK277" s="692"/>
      <c r="IL277" s="692"/>
      <c r="IM277" s="692"/>
      <c r="IN277" s="692"/>
      <c r="IO277" s="692"/>
      <c r="IP277" s="692"/>
      <c r="IQ277" s="692"/>
      <c r="IR277" s="692"/>
      <c r="IS277" s="692"/>
      <c r="IT277" s="692"/>
      <c r="IU277" s="692"/>
      <c r="IV277" s="692"/>
      <c r="IW277" s="692"/>
      <c r="IX277" s="692"/>
      <c r="IY277" s="692"/>
      <c r="IZ277" s="692"/>
      <c r="JA277" s="692"/>
      <c r="JB277" s="692"/>
      <c r="JC277" s="692"/>
      <c r="JD277" s="692"/>
      <c r="JE277" s="692"/>
      <c r="JF277" s="692"/>
      <c r="JG277" s="692"/>
      <c r="JH277" s="692"/>
      <c r="JI277" s="692"/>
      <c r="JJ277" s="692"/>
      <c r="JK277" s="692"/>
      <c r="JL277" s="692"/>
      <c r="JM277" s="692"/>
      <c r="JN277" s="692"/>
      <c r="JO277" s="692"/>
      <c r="JP277" s="692"/>
      <c r="JQ277" s="692"/>
      <c r="JR277" s="692"/>
      <c r="JS277" s="692"/>
      <c r="JT277" s="692"/>
      <c r="JU277" s="692"/>
      <c r="JV277" s="692"/>
      <c r="JW277" s="692"/>
      <c r="JX277" s="692"/>
      <c r="JY277" s="692"/>
      <c r="JZ277" s="692"/>
      <c r="KA277" s="692"/>
      <c r="KB277" s="692"/>
      <c r="KC277" s="692"/>
      <c r="KD277" s="692"/>
      <c r="KE277" s="692"/>
      <c r="KF277" s="692"/>
      <c r="KG277" s="692"/>
      <c r="KH277" s="692"/>
      <c r="KI277" s="692"/>
      <c r="KJ277" s="692"/>
      <c r="KK277" s="692"/>
      <c r="KL277" s="692"/>
      <c r="KM277" s="692"/>
      <c r="KN277" s="692"/>
      <c r="KO277" s="692"/>
      <c r="KP277" s="692"/>
      <c r="KQ277" s="692"/>
      <c r="KR277" s="692"/>
      <c r="KS277" s="692"/>
      <c r="KT277" s="692"/>
      <c r="KU277" s="692"/>
      <c r="KV277" s="692"/>
      <c r="KW277" s="692"/>
      <c r="KX277" s="692"/>
      <c r="KY277" s="692"/>
      <c r="KZ277" s="692"/>
      <c r="LA277" s="692"/>
      <c r="LB277" s="692"/>
      <c r="LC277" s="692"/>
      <c r="LD277" s="692"/>
      <c r="LE277" s="692"/>
      <c r="LF277" s="692"/>
      <c r="LG277" s="692"/>
      <c r="LH277" s="692"/>
      <c r="LI277" s="692"/>
      <c r="LJ277" s="692"/>
      <c r="LK277" s="692"/>
      <c r="LL277" s="692"/>
      <c r="LM277" s="692"/>
      <c r="LN277" s="692"/>
      <c r="LO277" s="692"/>
      <c r="LP277" s="692"/>
      <c r="LQ277" s="692"/>
      <c r="LR277" s="692"/>
      <c r="LS277" s="692"/>
      <c r="LT277" s="692"/>
      <c r="LU277" s="692"/>
      <c r="LV277" s="692"/>
      <c r="LW277" s="692"/>
      <c r="LX277" s="692"/>
      <c r="LY277" s="692"/>
      <c r="LZ277" s="692"/>
      <c r="MA277" s="692"/>
      <c r="MB277" s="692"/>
      <c r="MC277" s="692"/>
      <c r="MD277" s="692"/>
      <c r="ME277" s="692"/>
      <c r="MF277" s="692"/>
      <c r="MG277" s="692"/>
      <c r="MH277" s="692"/>
      <c r="MI277" s="692"/>
      <c r="MJ277" s="692"/>
      <c r="MK277" s="692"/>
      <c r="ML277" s="692"/>
      <c r="MM277" s="692"/>
      <c r="MN277" s="692"/>
      <c r="MO277" s="692"/>
      <c r="MP277" s="692"/>
      <c r="MQ277" s="692"/>
      <c r="MR277" s="692"/>
      <c r="MS277" s="692"/>
      <c r="MT277" s="692"/>
      <c r="MU277" s="692"/>
      <c r="MV277" s="692"/>
      <c r="MW277" s="692"/>
      <c r="MX277" s="692"/>
      <c r="MY277" s="692"/>
      <c r="MZ277" s="692"/>
      <c r="NA277" s="692"/>
      <c r="NB277" s="692"/>
      <c r="NC277" s="692"/>
      <c r="ND277" s="692"/>
      <c r="NE277" s="692"/>
      <c r="NF277" s="692"/>
      <c r="NG277" s="692"/>
      <c r="NH277" s="692"/>
      <c r="NI277" s="692"/>
      <c r="NJ277" s="692"/>
      <c r="NK277" s="692"/>
      <c r="NL277" s="692"/>
      <c r="NM277" s="692"/>
      <c r="NN277" s="692"/>
      <c r="NO277" s="692"/>
      <c r="NP277" s="692"/>
      <c r="NQ277" s="692"/>
      <c r="NR277" s="692"/>
    </row>
    <row r="278" spans="1:382" ht="27.75" thickBot="1" x14ac:dyDescent="0.3">
      <c r="A278" s="681"/>
      <c r="B278" s="680" t="s">
        <v>1724</v>
      </c>
      <c r="C278" s="422">
        <f>'Input Data'!$E$307</f>
        <v>0</v>
      </c>
      <c r="D278" s="680" t="s">
        <v>667</v>
      </c>
      <c r="E278" s="25"/>
      <c r="F278" s="686" t="s">
        <v>1725</v>
      </c>
      <c r="G278" s="692"/>
      <c r="H278" s="692"/>
      <c r="I278" s="692"/>
      <c r="J278" s="692"/>
      <c r="K278" s="692"/>
      <c r="L278" s="692"/>
      <c r="M278" s="692"/>
      <c r="N278" s="692"/>
      <c r="O278" s="692"/>
      <c r="P278" s="692"/>
      <c r="Q278" s="692"/>
      <c r="R278" s="692"/>
      <c r="S278" s="692"/>
      <c r="T278" s="692"/>
      <c r="U278" s="692"/>
      <c r="V278" s="692"/>
      <c r="W278" s="692"/>
      <c r="X278" s="692"/>
      <c r="Y278" s="692"/>
      <c r="Z278" s="692"/>
      <c r="AA278" s="692"/>
      <c r="AB278" s="692"/>
      <c r="AC278" s="692"/>
      <c r="AD278" s="692"/>
      <c r="AE278" s="692"/>
      <c r="AF278" s="692"/>
      <c r="AG278" s="692"/>
      <c r="AH278" s="692"/>
      <c r="AI278" s="692"/>
      <c r="AJ278" s="692"/>
      <c r="AK278" s="692"/>
      <c r="AL278" s="692"/>
      <c r="AM278" s="692"/>
      <c r="AN278" s="692"/>
      <c r="AO278" s="692"/>
      <c r="AP278" s="692"/>
      <c r="AQ278" s="692"/>
      <c r="AR278" s="692"/>
      <c r="AS278" s="692"/>
      <c r="AT278" s="692"/>
      <c r="AU278" s="692"/>
      <c r="AV278" s="692"/>
      <c r="AW278" s="692"/>
      <c r="AX278" s="692"/>
      <c r="AY278" s="692"/>
      <c r="AZ278" s="692"/>
      <c r="BA278" s="692"/>
      <c r="BB278" s="692"/>
      <c r="BC278" s="692"/>
      <c r="BD278" s="692"/>
      <c r="BE278" s="692"/>
      <c r="BF278" s="692"/>
      <c r="BG278" s="692"/>
      <c r="BH278" s="692"/>
      <c r="BI278" s="692"/>
      <c r="BJ278" s="692"/>
      <c r="BK278" s="692"/>
      <c r="BL278" s="692"/>
      <c r="BM278" s="692"/>
      <c r="BN278" s="692"/>
      <c r="BO278" s="692"/>
      <c r="BP278" s="692"/>
      <c r="BQ278" s="692"/>
      <c r="BR278" s="692"/>
      <c r="BS278" s="692"/>
      <c r="BT278" s="692"/>
      <c r="BU278" s="692"/>
      <c r="BV278" s="692"/>
      <c r="BW278" s="692"/>
      <c r="BX278" s="692"/>
      <c r="BY278" s="692"/>
      <c r="BZ278" s="692"/>
      <c r="CA278" s="692"/>
      <c r="CB278" s="692"/>
      <c r="CC278" s="692"/>
      <c r="CD278" s="692"/>
      <c r="CE278" s="692"/>
      <c r="CF278" s="692"/>
      <c r="CG278" s="692"/>
      <c r="CH278" s="692"/>
      <c r="CI278" s="692"/>
      <c r="CJ278" s="692"/>
      <c r="CK278" s="692"/>
      <c r="CL278" s="692"/>
      <c r="CM278" s="692"/>
      <c r="CN278" s="692"/>
      <c r="CO278" s="692"/>
      <c r="CP278" s="692"/>
      <c r="CQ278" s="692"/>
      <c r="CR278" s="692"/>
      <c r="CS278" s="692"/>
      <c r="CT278" s="692"/>
      <c r="CU278" s="692"/>
      <c r="CV278" s="692"/>
      <c r="CW278" s="692"/>
      <c r="CX278" s="692"/>
      <c r="CY278" s="692"/>
      <c r="CZ278" s="692"/>
      <c r="DA278" s="692"/>
      <c r="DB278" s="692"/>
      <c r="DC278" s="692"/>
      <c r="DD278" s="692"/>
      <c r="DE278" s="692"/>
      <c r="DF278" s="692"/>
      <c r="DG278" s="692"/>
      <c r="DH278" s="692"/>
      <c r="DI278" s="692"/>
      <c r="DJ278" s="692"/>
      <c r="DK278" s="692"/>
      <c r="DL278" s="692"/>
      <c r="DM278" s="692"/>
      <c r="DN278" s="692"/>
      <c r="DO278" s="692"/>
      <c r="DP278" s="692"/>
      <c r="DQ278" s="692"/>
      <c r="DR278" s="692"/>
      <c r="DS278" s="692"/>
      <c r="DT278" s="692"/>
      <c r="DU278" s="692"/>
      <c r="DV278" s="692"/>
      <c r="DW278" s="692"/>
      <c r="DX278" s="692"/>
      <c r="DY278" s="692"/>
      <c r="DZ278" s="692"/>
      <c r="EA278" s="692"/>
      <c r="EB278" s="692"/>
      <c r="EC278" s="692"/>
      <c r="ED278" s="692"/>
      <c r="EE278" s="692"/>
      <c r="EF278" s="692"/>
      <c r="EG278" s="692"/>
      <c r="EH278" s="692"/>
      <c r="EI278" s="692"/>
      <c r="EJ278" s="692"/>
      <c r="EK278" s="692"/>
      <c r="EL278" s="692"/>
      <c r="EM278" s="692"/>
      <c r="EN278" s="692"/>
      <c r="EO278" s="692"/>
      <c r="EP278" s="692"/>
      <c r="EQ278" s="692"/>
      <c r="ER278" s="692"/>
      <c r="ES278" s="692"/>
      <c r="ET278" s="692"/>
      <c r="EU278" s="692"/>
      <c r="EV278" s="692"/>
      <c r="EW278" s="692"/>
      <c r="EX278" s="692"/>
      <c r="EY278" s="692"/>
      <c r="EZ278" s="692"/>
      <c r="FA278" s="692"/>
      <c r="FB278" s="692"/>
      <c r="FC278" s="692"/>
      <c r="FD278" s="692"/>
      <c r="FE278" s="692"/>
      <c r="FF278" s="692"/>
      <c r="FG278" s="692"/>
      <c r="FH278" s="692"/>
      <c r="FI278" s="692"/>
      <c r="FJ278" s="692"/>
      <c r="FK278" s="692"/>
      <c r="FL278" s="692"/>
      <c r="FM278" s="692"/>
      <c r="FN278" s="692"/>
      <c r="FO278" s="692"/>
      <c r="FP278" s="692"/>
      <c r="FQ278" s="692"/>
      <c r="FR278" s="692"/>
      <c r="FS278" s="692"/>
      <c r="FT278" s="692"/>
      <c r="FU278" s="692"/>
      <c r="FV278" s="692"/>
      <c r="FW278" s="692"/>
      <c r="FX278" s="692"/>
      <c r="FY278" s="692"/>
      <c r="FZ278" s="692"/>
      <c r="GA278" s="692"/>
      <c r="GB278" s="692"/>
      <c r="GC278" s="692"/>
      <c r="GD278" s="692"/>
      <c r="GE278" s="692"/>
      <c r="GF278" s="692"/>
      <c r="GG278" s="692"/>
      <c r="GH278" s="692"/>
      <c r="GI278" s="692"/>
      <c r="GJ278" s="692"/>
      <c r="GK278" s="692"/>
      <c r="GL278" s="692"/>
      <c r="GM278" s="692"/>
      <c r="GN278" s="692"/>
      <c r="GO278" s="692"/>
      <c r="GP278" s="692"/>
      <c r="GQ278" s="692"/>
      <c r="GR278" s="692"/>
      <c r="GS278" s="692"/>
      <c r="GT278" s="692"/>
      <c r="GU278" s="692"/>
      <c r="GV278" s="692"/>
      <c r="GW278" s="692"/>
      <c r="GX278" s="692"/>
      <c r="GY278" s="692"/>
      <c r="GZ278" s="692"/>
      <c r="HA278" s="692"/>
      <c r="HB278" s="692"/>
      <c r="HC278" s="692"/>
      <c r="HD278" s="692"/>
      <c r="HE278" s="692"/>
      <c r="HF278" s="692"/>
      <c r="HG278" s="692"/>
      <c r="HH278" s="692"/>
      <c r="HI278" s="692"/>
      <c r="HJ278" s="692"/>
      <c r="HK278" s="692"/>
      <c r="HL278" s="692"/>
      <c r="HM278" s="692"/>
      <c r="HN278" s="692"/>
      <c r="HO278" s="692"/>
      <c r="HP278" s="692"/>
      <c r="HQ278" s="692"/>
      <c r="HR278" s="692"/>
      <c r="HS278" s="692"/>
      <c r="HT278" s="692"/>
      <c r="HU278" s="692"/>
      <c r="HV278" s="692"/>
      <c r="HW278" s="692"/>
      <c r="HX278" s="692"/>
      <c r="HY278" s="692"/>
      <c r="HZ278" s="692"/>
      <c r="IA278" s="692"/>
      <c r="IB278" s="692"/>
      <c r="IC278" s="692"/>
      <c r="ID278" s="692"/>
      <c r="IE278" s="692"/>
      <c r="IF278" s="692"/>
      <c r="IG278" s="692"/>
      <c r="IH278" s="692"/>
      <c r="II278" s="692"/>
      <c r="IJ278" s="692"/>
      <c r="IK278" s="692"/>
      <c r="IL278" s="692"/>
      <c r="IM278" s="692"/>
      <c r="IN278" s="692"/>
      <c r="IO278" s="692"/>
      <c r="IP278" s="692"/>
      <c r="IQ278" s="692"/>
      <c r="IR278" s="692"/>
      <c r="IS278" s="692"/>
      <c r="IT278" s="692"/>
      <c r="IU278" s="692"/>
      <c r="IV278" s="692"/>
      <c r="IW278" s="692"/>
      <c r="IX278" s="692"/>
      <c r="IY278" s="692"/>
      <c r="IZ278" s="692"/>
      <c r="JA278" s="692"/>
      <c r="JB278" s="692"/>
      <c r="JC278" s="692"/>
      <c r="JD278" s="692"/>
      <c r="JE278" s="692"/>
      <c r="JF278" s="692"/>
      <c r="JG278" s="692"/>
      <c r="JH278" s="692"/>
      <c r="JI278" s="692"/>
      <c r="JJ278" s="692"/>
      <c r="JK278" s="692"/>
      <c r="JL278" s="692"/>
      <c r="JM278" s="692"/>
      <c r="JN278" s="692"/>
      <c r="JO278" s="692"/>
      <c r="JP278" s="692"/>
      <c r="JQ278" s="692"/>
      <c r="JR278" s="692"/>
      <c r="JS278" s="692"/>
      <c r="JT278" s="692"/>
      <c r="JU278" s="692"/>
      <c r="JV278" s="692"/>
      <c r="JW278" s="692"/>
      <c r="JX278" s="692"/>
      <c r="JY278" s="692"/>
      <c r="JZ278" s="692"/>
      <c r="KA278" s="692"/>
      <c r="KB278" s="692"/>
      <c r="KC278" s="692"/>
      <c r="KD278" s="692"/>
      <c r="KE278" s="692"/>
      <c r="KF278" s="692"/>
      <c r="KG278" s="692"/>
      <c r="KH278" s="692"/>
      <c r="KI278" s="692"/>
      <c r="KJ278" s="692"/>
      <c r="KK278" s="692"/>
      <c r="KL278" s="692"/>
      <c r="KM278" s="692"/>
      <c r="KN278" s="692"/>
      <c r="KO278" s="692"/>
      <c r="KP278" s="692"/>
      <c r="KQ278" s="692"/>
      <c r="KR278" s="692"/>
      <c r="KS278" s="692"/>
      <c r="KT278" s="692"/>
      <c r="KU278" s="692"/>
      <c r="KV278" s="692"/>
      <c r="KW278" s="692"/>
      <c r="KX278" s="692"/>
      <c r="KY278" s="692"/>
      <c r="KZ278" s="692"/>
      <c r="LA278" s="692"/>
      <c r="LB278" s="692"/>
      <c r="LC278" s="692"/>
      <c r="LD278" s="692"/>
      <c r="LE278" s="692"/>
      <c r="LF278" s="692"/>
      <c r="LG278" s="692"/>
      <c r="LH278" s="692"/>
      <c r="LI278" s="692"/>
      <c r="LJ278" s="692"/>
      <c r="LK278" s="692"/>
      <c r="LL278" s="692"/>
      <c r="LM278" s="692"/>
      <c r="LN278" s="692"/>
      <c r="LO278" s="692"/>
      <c r="LP278" s="692"/>
      <c r="LQ278" s="692"/>
      <c r="LR278" s="692"/>
      <c r="LS278" s="692"/>
      <c r="LT278" s="692"/>
      <c r="LU278" s="692"/>
      <c r="LV278" s="692"/>
      <c r="LW278" s="692"/>
      <c r="LX278" s="692"/>
      <c r="LY278" s="692"/>
      <c r="LZ278" s="692"/>
      <c r="MA278" s="692"/>
      <c r="MB278" s="692"/>
      <c r="MC278" s="692"/>
      <c r="MD278" s="692"/>
      <c r="ME278" s="692"/>
      <c r="MF278" s="692"/>
      <c r="MG278" s="692"/>
      <c r="MH278" s="692"/>
      <c r="MI278" s="692"/>
      <c r="MJ278" s="692"/>
      <c r="MK278" s="692"/>
      <c r="ML278" s="692"/>
      <c r="MM278" s="692"/>
      <c r="MN278" s="692"/>
      <c r="MO278" s="692"/>
      <c r="MP278" s="692"/>
      <c r="MQ278" s="692"/>
      <c r="MR278" s="692"/>
      <c r="MS278" s="692"/>
      <c r="MT278" s="692"/>
      <c r="MU278" s="692"/>
      <c r="MV278" s="692"/>
      <c r="MW278" s="692"/>
      <c r="MX278" s="692"/>
      <c r="MY278" s="692"/>
      <c r="MZ278" s="692"/>
      <c r="NA278" s="692"/>
      <c r="NB278" s="692"/>
      <c r="NC278" s="692"/>
      <c r="ND278" s="692"/>
      <c r="NE278" s="692"/>
      <c r="NF278" s="692"/>
      <c r="NG278" s="692"/>
      <c r="NH278" s="692"/>
      <c r="NI278" s="692"/>
      <c r="NJ278" s="692"/>
      <c r="NK278" s="692"/>
      <c r="NL278" s="692"/>
      <c r="NM278" s="692"/>
      <c r="NN278" s="692"/>
      <c r="NO278" s="692"/>
      <c r="NP278" s="692"/>
      <c r="NQ278" s="692"/>
      <c r="NR278" s="692"/>
    </row>
    <row r="279" spans="1:382" x14ac:dyDescent="0.25">
      <c r="A279" s="28"/>
      <c r="B279" s="680" t="s">
        <v>1327</v>
      </c>
      <c r="C279" s="425">
        <f>'Input Data'!E17*1000</f>
        <v>0</v>
      </c>
      <c r="D279" s="680" t="s">
        <v>390</v>
      </c>
      <c r="E279" s="25"/>
      <c r="F279" s="203"/>
      <c r="G279" s="692"/>
      <c r="H279" s="692"/>
      <c r="I279" s="692"/>
      <c r="J279" s="692"/>
      <c r="K279" s="692"/>
      <c r="L279" s="692"/>
      <c r="M279" s="692"/>
      <c r="N279" s="692"/>
      <c r="O279" s="692"/>
      <c r="P279" s="692"/>
      <c r="Q279" s="692"/>
      <c r="R279" s="692"/>
      <c r="S279" s="692"/>
      <c r="T279" s="692"/>
      <c r="U279" s="692"/>
      <c r="V279" s="692"/>
      <c r="W279" s="692"/>
      <c r="X279" s="692"/>
      <c r="Y279" s="692"/>
      <c r="Z279" s="692"/>
      <c r="AA279" s="692"/>
      <c r="AB279" s="692"/>
      <c r="AC279" s="692"/>
      <c r="AD279" s="692"/>
      <c r="AE279" s="692"/>
      <c r="AF279" s="692"/>
      <c r="AG279" s="692"/>
      <c r="AH279" s="692"/>
      <c r="AI279" s="692"/>
      <c r="AJ279" s="692"/>
      <c r="AK279" s="692"/>
      <c r="AL279" s="692"/>
      <c r="AM279" s="692"/>
      <c r="AN279" s="692"/>
      <c r="AO279" s="692"/>
      <c r="AP279" s="692"/>
      <c r="AQ279" s="692"/>
      <c r="AR279" s="692"/>
      <c r="AS279" s="692"/>
      <c r="AT279" s="692"/>
      <c r="AU279" s="692"/>
      <c r="AV279" s="692"/>
      <c r="AW279" s="692"/>
      <c r="AX279" s="692"/>
      <c r="AY279" s="692"/>
      <c r="AZ279" s="692"/>
      <c r="BA279" s="692"/>
      <c r="BB279" s="692"/>
      <c r="BC279" s="692"/>
      <c r="BD279" s="692"/>
      <c r="BE279" s="692"/>
      <c r="BF279" s="692"/>
      <c r="BG279" s="692"/>
      <c r="BH279" s="692"/>
      <c r="BI279" s="692"/>
      <c r="BJ279" s="692"/>
      <c r="BK279" s="692"/>
      <c r="BL279" s="692"/>
      <c r="BM279" s="692"/>
      <c r="BN279" s="692"/>
      <c r="BO279" s="692"/>
      <c r="BP279" s="692"/>
      <c r="BQ279" s="692"/>
      <c r="BR279" s="692"/>
      <c r="BS279" s="692"/>
      <c r="BT279" s="692"/>
      <c r="BU279" s="692"/>
      <c r="BV279" s="692"/>
      <c r="BW279" s="692"/>
      <c r="BX279" s="692"/>
      <c r="BY279" s="692"/>
      <c r="BZ279" s="692"/>
      <c r="CA279" s="692"/>
      <c r="CB279" s="692"/>
      <c r="CC279" s="692"/>
      <c r="CD279" s="692"/>
      <c r="CE279" s="692"/>
      <c r="CF279" s="692"/>
      <c r="CG279" s="692"/>
      <c r="CH279" s="692"/>
      <c r="CI279" s="692"/>
      <c r="CJ279" s="692"/>
      <c r="CK279" s="692"/>
      <c r="CL279" s="692"/>
      <c r="CM279" s="692"/>
      <c r="CN279" s="692"/>
      <c r="CO279" s="692"/>
      <c r="CP279" s="692"/>
      <c r="CQ279" s="692"/>
      <c r="CR279" s="692"/>
      <c r="CS279" s="692"/>
      <c r="CT279" s="692"/>
      <c r="CU279" s="692"/>
      <c r="CV279" s="692"/>
      <c r="CW279" s="692"/>
      <c r="CX279" s="692"/>
      <c r="CY279" s="692"/>
      <c r="CZ279" s="692"/>
      <c r="DA279" s="692"/>
      <c r="DB279" s="692"/>
      <c r="DC279" s="692"/>
      <c r="DD279" s="692"/>
      <c r="DE279" s="692"/>
      <c r="DF279" s="692"/>
      <c r="DG279" s="692"/>
      <c r="DH279" s="692"/>
      <c r="DI279" s="692"/>
      <c r="DJ279" s="692"/>
      <c r="DK279" s="692"/>
      <c r="DL279" s="692"/>
      <c r="DM279" s="692"/>
      <c r="DN279" s="692"/>
      <c r="DO279" s="692"/>
      <c r="DP279" s="692"/>
      <c r="DQ279" s="692"/>
      <c r="DR279" s="692"/>
      <c r="DS279" s="692"/>
      <c r="DT279" s="692"/>
      <c r="DU279" s="692"/>
      <c r="DV279" s="692"/>
      <c r="DW279" s="692"/>
      <c r="DX279" s="692"/>
      <c r="DY279" s="692"/>
      <c r="DZ279" s="692"/>
      <c r="EA279" s="692"/>
      <c r="EB279" s="692"/>
      <c r="EC279" s="692"/>
      <c r="ED279" s="692"/>
      <c r="EE279" s="692"/>
      <c r="EF279" s="692"/>
      <c r="EG279" s="692"/>
      <c r="EH279" s="692"/>
      <c r="EI279" s="692"/>
      <c r="EJ279" s="692"/>
      <c r="EK279" s="692"/>
      <c r="EL279" s="692"/>
      <c r="EM279" s="692"/>
      <c r="EN279" s="692"/>
      <c r="EO279" s="692"/>
      <c r="EP279" s="692"/>
      <c r="EQ279" s="692"/>
      <c r="ER279" s="692"/>
      <c r="ES279" s="692"/>
      <c r="ET279" s="692"/>
      <c r="EU279" s="692"/>
      <c r="EV279" s="692"/>
      <c r="EW279" s="692"/>
      <c r="EX279" s="692"/>
      <c r="EY279" s="692"/>
      <c r="EZ279" s="692"/>
      <c r="FA279" s="692"/>
      <c r="FB279" s="692"/>
      <c r="FC279" s="692"/>
      <c r="FD279" s="692"/>
      <c r="FE279" s="692"/>
      <c r="FF279" s="692"/>
      <c r="FG279" s="692"/>
      <c r="FH279" s="692"/>
      <c r="FI279" s="692"/>
      <c r="FJ279" s="692"/>
      <c r="FK279" s="692"/>
      <c r="FL279" s="692"/>
      <c r="FM279" s="692"/>
      <c r="FN279" s="692"/>
      <c r="FO279" s="692"/>
      <c r="FP279" s="692"/>
      <c r="FQ279" s="692"/>
      <c r="FR279" s="692"/>
      <c r="FS279" s="692"/>
      <c r="FT279" s="692"/>
      <c r="FU279" s="692"/>
      <c r="FV279" s="692"/>
      <c r="FW279" s="692"/>
      <c r="FX279" s="692"/>
      <c r="FY279" s="692"/>
      <c r="FZ279" s="692"/>
      <c r="GA279" s="692"/>
      <c r="GB279" s="692"/>
      <c r="GC279" s="692"/>
      <c r="GD279" s="692"/>
      <c r="GE279" s="692"/>
      <c r="GF279" s="692"/>
      <c r="GG279" s="692"/>
      <c r="GH279" s="692"/>
      <c r="GI279" s="692"/>
      <c r="GJ279" s="692"/>
      <c r="GK279" s="692"/>
      <c r="GL279" s="692"/>
      <c r="GM279" s="692"/>
      <c r="GN279" s="692"/>
      <c r="GO279" s="692"/>
      <c r="GP279" s="692"/>
      <c r="GQ279" s="692"/>
      <c r="GR279" s="692"/>
      <c r="GS279" s="692"/>
      <c r="GT279" s="692"/>
      <c r="GU279" s="692"/>
      <c r="GV279" s="692"/>
      <c r="GW279" s="692"/>
      <c r="GX279" s="692"/>
      <c r="GY279" s="692"/>
      <c r="GZ279" s="692"/>
      <c r="HA279" s="692"/>
      <c r="HB279" s="692"/>
      <c r="HC279" s="692"/>
      <c r="HD279" s="692"/>
      <c r="HE279" s="692"/>
      <c r="HF279" s="692"/>
      <c r="HG279" s="692"/>
      <c r="HH279" s="692"/>
      <c r="HI279" s="692"/>
      <c r="HJ279" s="692"/>
      <c r="HK279" s="692"/>
      <c r="HL279" s="692"/>
      <c r="HM279" s="692"/>
      <c r="HN279" s="692"/>
      <c r="HO279" s="692"/>
      <c r="HP279" s="692"/>
      <c r="HQ279" s="692"/>
      <c r="HR279" s="692"/>
      <c r="HS279" s="692"/>
      <c r="HT279" s="692"/>
      <c r="HU279" s="692"/>
      <c r="HV279" s="692"/>
      <c r="HW279" s="692"/>
      <c r="HX279" s="692"/>
      <c r="HY279" s="692"/>
      <c r="HZ279" s="692"/>
      <c r="IA279" s="692"/>
      <c r="IB279" s="692"/>
      <c r="IC279" s="692"/>
      <c r="ID279" s="692"/>
      <c r="IE279" s="692"/>
      <c r="IF279" s="692"/>
      <c r="IG279" s="692"/>
      <c r="IH279" s="692"/>
      <c r="II279" s="692"/>
      <c r="IJ279" s="692"/>
      <c r="IK279" s="692"/>
      <c r="IL279" s="692"/>
      <c r="IM279" s="692"/>
      <c r="IN279" s="692"/>
      <c r="IO279" s="692"/>
      <c r="IP279" s="692"/>
      <c r="IQ279" s="692"/>
      <c r="IR279" s="692"/>
      <c r="IS279" s="692"/>
      <c r="IT279" s="692"/>
      <c r="IU279" s="692"/>
      <c r="IV279" s="692"/>
      <c r="IW279" s="692"/>
      <c r="IX279" s="692"/>
      <c r="IY279" s="692"/>
      <c r="IZ279" s="692"/>
      <c r="JA279" s="692"/>
      <c r="JB279" s="692"/>
      <c r="JC279" s="692"/>
      <c r="JD279" s="692"/>
      <c r="JE279" s="692"/>
      <c r="JF279" s="692"/>
      <c r="JG279" s="692"/>
      <c r="JH279" s="692"/>
      <c r="JI279" s="692"/>
      <c r="JJ279" s="692"/>
      <c r="JK279" s="692"/>
      <c r="JL279" s="692"/>
      <c r="JM279" s="692"/>
      <c r="JN279" s="692"/>
      <c r="JO279" s="692"/>
      <c r="JP279" s="692"/>
      <c r="JQ279" s="692"/>
      <c r="JR279" s="692"/>
      <c r="JS279" s="692"/>
      <c r="JT279" s="692"/>
      <c r="JU279" s="692"/>
      <c r="JV279" s="692"/>
      <c r="JW279" s="692"/>
      <c r="JX279" s="692"/>
      <c r="JY279" s="692"/>
      <c r="JZ279" s="692"/>
      <c r="KA279" s="692"/>
      <c r="KB279" s="692"/>
      <c r="KC279" s="692"/>
      <c r="KD279" s="692"/>
      <c r="KE279" s="692"/>
      <c r="KF279" s="692"/>
      <c r="KG279" s="692"/>
      <c r="KH279" s="692"/>
      <c r="KI279" s="692"/>
      <c r="KJ279" s="692"/>
      <c r="KK279" s="692"/>
      <c r="KL279" s="692"/>
      <c r="KM279" s="692"/>
      <c r="KN279" s="692"/>
      <c r="KO279" s="692"/>
      <c r="KP279" s="692"/>
      <c r="KQ279" s="692"/>
      <c r="KR279" s="692"/>
      <c r="KS279" s="692"/>
      <c r="KT279" s="692"/>
      <c r="KU279" s="692"/>
      <c r="KV279" s="692"/>
      <c r="KW279" s="692"/>
      <c r="KX279" s="692"/>
      <c r="KY279" s="692"/>
      <c r="KZ279" s="692"/>
      <c r="LA279" s="692"/>
      <c r="LB279" s="692"/>
      <c r="LC279" s="692"/>
      <c r="LD279" s="692"/>
      <c r="LE279" s="692"/>
      <c r="LF279" s="692"/>
      <c r="LG279" s="692"/>
      <c r="LH279" s="692"/>
      <c r="LI279" s="692"/>
      <c r="LJ279" s="692"/>
      <c r="LK279" s="692"/>
      <c r="LL279" s="692"/>
      <c r="LM279" s="692"/>
      <c r="LN279" s="692"/>
      <c r="LO279" s="692"/>
      <c r="LP279" s="692"/>
      <c r="LQ279" s="692"/>
      <c r="LR279" s="692"/>
      <c r="LS279" s="692"/>
      <c r="LT279" s="692"/>
      <c r="LU279" s="692"/>
      <c r="LV279" s="692"/>
      <c r="LW279" s="692"/>
      <c r="LX279" s="692"/>
      <c r="LY279" s="692"/>
      <c r="LZ279" s="692"/>
      <c r="MA279" s="692"/>
      <c r="MB279" s="692"/>
      <c r="MC279" s="692"/>
      <c r="MD279" s="692"/>
      <c r="ME279" s="692"/>
      <c r="MF279" s="692"/>
      <c r="MG279" s="692"/>
      <c r="MH279" s="692"/>
      <c r="MI279" s="692"/>
      <c r="MJ279" s="692"/>
      <c r="MK279" s="692"/>
      <c r="ML279" s="692"/>
      <c r="MM279" s="692"/>
      <c r="MN279" s="692"/>
      <c r="MO279" s="692"/>
      <c r="MP279" s="692"/>
      <c r="MQ279" s="692"/>
      <c r="MR279" s="692"/>
      <c r="MS279" s="692"/>
      <c r="MT279" s="692"/>
      <c r="MU279" s="692"/>
      <c r="MV279" s="692"/>
      <c r="MW279" s="692"/>
      <c r="MX279" s="692"/>
      <c r="MY279" s="692"/>
      <c r="MZ279" s="692"/>
      <c r="NA279" s="692"/>
      <c r="NB279" s="692"/>
      <c r="NC279" s="692"/>
      <c r="ND279" s="692"/>
      <c r="NE279" s="692"/>
      <c r="NF279" s="692"/>
      <c r="NG279" s="692"/>
      <c r="NH279" s="692"/>
      <c r="NI279" s="692"/>
      <c r="NJ279" s="692"/>
      <c r="NK279" s="692"/>
      <c r="NL279" s="692"/>
      <c r="NM279" s="692"/>
      <c r="NN279" s="692"/>
      <c r="NO279" s="692"/>
      <c r="NP279" s="692"/>
      <c r="NQ279" s="692"/>
      <c r="NR279" s="692"/>
    </row>
    <row r="280" spans="1:382" x14ac:dyDescent="0.25">
      <c r="A280" s="681"/>
      <c r="B280" s="680" t="s">
        <v>1726</v>
      </c>
      <c r="C280" s="509">
        <f>IF(C279=0,0,C278/C279)</f>
        <v>0</v>
      </c>
      <c r="D280" s="680" t="s">
        <v>1727</v>
      </c>
      <c r="E280" s="25"/>
      <c r="F280" s="203"/>
      <c r="G280" s="692"/>
      <c r="H280" s="692"/>
      <c r="I280" s="692"/>
      <c r="J280" s="692"/>
      <c r="K280" s="692"/>
      <c r="L280" s="692"/>
      <c r="M280" s="692"/>
      <c r="N280" s="692"/>
      <c r="O280" s="692"/>
      <c r="P280" s="692"/>
      <c r="Q280" s="692"/>
      <c r="R280" s="692"/>
      <c r="S280" s="692"/>
      <c r="T280" s="692"/>
      <c r="U280" s="692"/>
      <c r="V280" s="692"/>
      <c r="W280" s="692"/>
      <c r="X280" s="692"/>
      <c r="Y280" s="692"/>
      <c r="Z280" s="692"/>
      <c r="AA280" s="692"/>
      <c r="AB280" s="692"/>
      <c r="AC280" s="692"/>
      <c r="AD280" s="692"/>
      <c r="AE280" s="692"/>
      <c r="AF280" s="692"/>
      <c r="AG280" s="692"/>
      <c r="AH280" s="692"/>
      <c r="AI280" s="692"/>
      <c r="AJ280" s="692"/>
      <c r="AK280" s="692"/>
      <c r="AL280" s="692"/>
      <c r="AM280" s="692"/>
      <c r="AN280" s="692"/>
      <c r="AO280" s="692"/>
      <c r="AP280" s="692"/>
      <c r="AQ280" s="692"/>
      <c r="AR280" s="692"/>
      <c r="AS280" s="692"/>
      <c r="AT280" s="692"/>
      <c r="AU280" s="692"/>
      <c r="AV280" s="692"/>
      <c r="AW280" s="692"/>
      <c r="AX280" s="692"/>
      <c r="AY280" s="692"/>
      <c r="AZ280" s="692"/>
      <c r="BA280" s="692"/>
      <c r="BB280" s="692"/>
      <c r="BC280" s="692"/>
      <c r="BD280" s="692"/>
      <c r="BE280" s="692"/>
      <c r="BF280" s="692"/>
      <c r="BG280" s="692"/>
      <c r="BH280" s="692"/>
      <c r="BI280" s="692"/>
      <c r="BJ280" s="692"/>
      <c r="BK280" s="692"/>
      <c r="BL280" s="692"/>
      <c r="BM280" s="692"/>
      <c r="BN280" s="692"/>
      <c r="BO280" s="692"/>
      <c r="BP280" s="692"/>
      <c r="BQ280" s="692"/>
      <c r="BR280" s="692"/>
      <c r="BS280" s="692"/>
      <c r="BT280" s="692"/>
      <c r="BU280" s="692"/>
      <c r="BV280" s="692"/>
      <c r="BW280" s="692"/>
      <c r="BX280" s="692"/>
      <c r="BY280" s="692"/>
      <c r="BZ280" s="692"/>
      <c r="CA280" s="692"/>
      <c r="CB280" s="692"/>
      <c r="CC280" s="692"/>
      <c r="CD280" s="692"/>
      <c r="CE280" s="692"/>
      <c r="CF280" s="692"/>
      <c r="CG280" s="692"/>
      <c r="CH280" s="692"/>
      <c r="CI280" s="692"/>
      <c r="CJ280" s="692"/>
      <c r="CK280" s="692"/>
      <c r="CL280" s="692"/>
      <c r="CM280" s="692"/>
      <c r="CN280" s="692"/>
      <c r="CO280" s="692"/>
      <c r="CP280" s="692"/>
      <c r="CQ280" s="692"/>
      <c r="CR280" s="692"/>
      <c r="CS280" s="692"/>
      <c r="CT280" s="692"/>
      <c r="CU280" s="692"/>
      <c r="CV280" s="692"/>
      <c r="CW280" s="692"/>
      <c r="CX280" s="692"/>
      <c r="CY280" s="692"/>
      <c r="CZ280" s="692"/>
      <c r="DA280" s="692"/>
      <c r="DB280" s="692"/>
      <c r="DC280" s="692"/>
      <c r="DD280" s="692"/>
      <c r="DE280" s="692"/>
      <c r="DF280" s="692"/>
      <c r="DG280" s="692"/>
      <c r="DH280" s="692"/>
      <c r="DI280" s="692"/>
      <c r="DJ280" s="692"/>
      <c r="DK280" s="692"/>
      <c r="DL280" s="692"/>
      <c r="DM280" s="692"/>
      <c r="DN280" s="692"/>
      <c r="DO280" s="692"/>
      <c r="DP280" s="692"/>
      <c r="DQ280" s="692"/>
      <c r="DR280" s="692"/>
      <c r="DS280" s="692"/>
      <c r="DT280" s="692"/>
      <c r="DU280" s="692"/>
      <c r="DV280" s="692"/>
      <c r="DW280" s="692"/>
      <c r="DX280" s="692"/>
      <c r="DY280" s="692"/>
      <c r="DZ280" s="692"/>
      <c r="EA280" s="692"/>
      <c r="EB280" s="692"/>
      <c r="EC280" s="692"/>
      <c r="ED280" s="692"/>
      <c r="EE280" s="692"/>
      <c r="EF280" s="692"/>
      <c r="EG280" s="692"/>
      <c r="EH280" s="692"/>
      <c r="EI280" s="692"/>
      <c r="EJ280" s="692"/>
      <c r="EK280" s="692"/>
      <c r="EL280" s="692"/>
      <c r="EM280" s="692"/>
      <c r="EN280" s="692"/>
      <c r="EO280" s="692"/>
      <c r="EP280" s="692"/>
      <c r="EQ280" s="692"/>
      <c r="ER280" s="692"/>
      <c r="ES280" s="692"/>
      <c r="ET280" s="692"/>
      <c r="EU280" s="692"/>
      <c r="EV280" s="692"/>
      <c r="EW280" s="692"/>
      <c r="EX280" s="692"/>
      <c r="EY280" s="692"/>
      <c r="EZ280" s="692"/>
      <c r="FA280" s="692"/>
      <c r="FB280" s="692"/>
      <c r="FC280" s="692"/>
      <c r="FD280" s="692"/>
      <c r="FE280" s="692"/>
      <c r="FF280" s="692"/>
      <c r="FG280" s="692"/>
      <c r="FH280" s="692"/>
      <c r="FI280" s="692"/>
      <c r="FJ280" s="692"/>
      <c r="FK280" s="692"/>
      <c r="FL280" s="692"/>
      <c r="FM280" s="692"/>
      <c r="FN280" s="692"/>
      <c r="FO280" s="692"/>
      <c r="FP280" s="692"/>
      <c r="FQ280" s="692"/>
      <c r="FR280" s="692"/>
      <c r="FS280" s="692"/>
      <c r="FT280" s="692"/>
      <c r="FU280" s="692"/>
      <c r="FV280" s="692"/>
      <c r="FW280" s="692"/>
      <c r="FX280" s="692"/>
      <c r="FY280" s="692"/>
      <c r="FZ280" s="692"/>
      <c r="GA280" s="692"/>
      <c r="GB280" s="692"/>
      <c r="GC280" s="692"/>
      <c r="GD280" s="692"/>
      <c r="GE280" s="692"/>
      <c r="GF280" s="692"/>
      <c r="GG280" s="692"/>
      <c r="GH280" s="692"/>
      <c r="GI280" s="692"/>
      <c r="GJ280" s="692"/>
      <c r="GK280" s="692"/>
      <c r="GL280" s="692"/>
      <c r="GM280" s="692"/>
      <c r="GN280" s="692"/>
      <c r="GO280" s="692"/>
      <c r="GP280" s="692"/>
      <c r="GQ280" s="692"/>
      <c r="GR280" s="692"/>
      <c r="GS280" s="692"/>
      <c r="GT280" s="692"/>
      <c r="GU280" s="692"/>
      <c r="GV280" s="692"/>
      <c r="GW280" s="692"/>
      <c r="GX280" s="692"/>
      <c r="GY280" s="692"/>
      <c r="GZ280" s="692"/>
      <c r="HA280" s="692"/>
      <c r="HB280" s="692"/>
      <c r="HC280" s="692"/>
      <c r="HD280" s="692"/>
      <c r="HE280" s="692"/>
      <c r="HF280" s="692"/>
      <c r="HG280" s="692"/>
      <c r="HH280" s="692"/>
      <c r="HI280" s="692"/>
      <c r="HJ280" s="692"/>
      <c r="HK280" s="692"/>
      <c r="HL280" s="692"/>
      <c r="HM280" s="692"/>
      <c r="HN280" s="692"/>
      <c r="HO280" s="692"/>
      <c r="HP280" s="692"/>
      <c r="HQ280" s="692"/>
      <c r="HR280" s="692"/>
      <c r="HS280" s="692"/>
      <c r="HT280" s="692"/>
      <c r="HU280" s="692"/>
      <c r="HV280" s="692"/>
      <c r="HW280" s="692"/>
      <c r="HX280" s="692"/>
      <c r="HY280" s="692"/>
      <c r="HZ280" s="692"/>
      <c r="IA280" s="692"/>
      <c r="IB280" s="692"/>
      <c r="IC280" s="692"/>
      <c r="ID280" s="692"/>
      <c r="IE280" s="692"/>
      <c r="IF280" s="692"/>
      <c r="IG280" s="692"/>
      <c r="IH280" s="692"/>
      <c r="II280" s="692"/>
      <c r="IJ280" s="692"/>
      <c r="IK280" s="692"/>
      <c r="IL280" s="692"/>
      <c r="IM280" s="692"/>
      <c r="IN280" s="692"/>
      <c r="IO280" s="692"/>
      <c r="IP280" s="692"/>
      <c r="IQ280" s="692"/>
      <c r="IR280" s="692"/>
      <c r="IS280" s="692"/>
      <c r="IT280" s="692"/>
      <c r="IU280" s="692"/>
      <c r="IV280" s="692"/>
      <c r="IW280" s="692"/>
      <c r="IX280" s="692"/>
      <c r="IY280" s="692"/>
      <c r="IZ280" s="692"/>
      <c r="JA280" s="692"/>
      <c r="JB280" s="692"/>
      <c r="JC280" s="692"/>
      <c r="JD280" s="692"/>
      <c r="JE280" s="692"/>
      <c r="JF280" s="692"/>
      <c r="JG280" s="692"/>
      <c r="JH280" s="692"/>
      <c r="JI280" s="692"/>
      <c r="JJ280" s="692"/>
      <c r="JK280" s="692"/>
      <c r="JL280" s="692"/>
      <c r="JM280" s="692"/>
      <c r="JN280" s="692"/>
      <c r="JO280" s="692"/>
      <c r="JP280" s="692"/>
      <c r="JQ280" s="692"/>
      <c r="JR280" s="692"/>
      <c r="JS280" s="692"/>
      <c r="JT280" s="692"/>
      <c r="JU280" s="692"/>
      <c r="JV280" s="692"/>
      <c r="JW280" s="692"/>
      <c r="JX280" s="692"/>
      <c r="JY280" s="692"/>
      <c r="JZ280" s="692"/>
      <c r="KA280" s="692"/>
      <c r="KB280" s="692"/>
      <c r="KC280" s="692"/>
      <c r="KD280" s="692"/>
      <c r="KE280" s="692"/>
      <c r="KF280" s="692"/>
      <c r="KG280" s="692"/>
      <c r="KH280" s="692"/>
      <c r="KI280" s="692"/>
      <c r="KJ280" s="692"/>
      <c r="KK280" s="692"/>
      <c r="KL280" s="692"/>
      <c r="KM280" s="692"/>
      <c r="KN280" s="692"/>
      <c r="KO280" s="692"/>
      <c r="KP280" s="692"/>
      <c r="KQ280" s="692"/>
      <c r="KR280" s="692"/>
      <c r="KS280" s="692"/>
      <c r="KT280" s="692"/>
      <c r="KU280" s="692"/>
      <c r="KV280" s="692"/>
      <c r="KW280" s="692"/>
      <c r="KX280" s="692"/>
      <c r="KY280" s="692"/>
      <c r="KZ280" s="692"/>
      <c r="LA280" s="692"/>
      <c r="LB280" s="692"/>
      <c r="LC280" s="692"/>
      <c r="LD280" s="692"/>
      <c r="LE280" s="692"/>
      <c r="LF280" s="692"/>
      <c r="LG280" s="692"/>
      <c r="LH280" s="692"/>
      <c r="LI280" s="692"/>
      <c r="LJ280" s="692"/>
      <c r="LK280" s="692"/>
      <c r="LL280" s="692"/>
      <c r="LM280" s="692"/>
      <c r="LN280" s="692"/>
      <c r="LO280" s="692"/>
      <c r="LP280" s="692"/>
      <c r="LQ280" s="692"/>
      <c r="LR280" s="692"/>
      <c r="LS280" s="692"/>
      <c r="LT280" s="692"/>
      <c r="LU280" s="692"/>
      <c r="LV280" s="692"/>
      <c r="LW280" s="692"/>
      <c r="LX280" s="692"/>
      <c r="LY280" s="692"/>
      <c r="LZ280" s="692"/>
      <c r="MA280" s="692"/>
      <c r="MB280" s="692"/>
      <c r="MC280" s="692"/>
      <c r="MD280" s="692"/>
      <c r="ME280" s="692"/>
      <c r="MF280" s="692"/>
      <c r="MG280" s="692"/>
      <c r="MH280" s="692"/>
      <c r="MI280" s="692"/>
      <c r="MJ280" s="692"/>
      <c r="MK280" s="692"/>
      <c r="ML280" s="692"/>
      <c r="MM280" s="692"/>
      <c r="MN280" s="692"/>
      <c r="MO280" s="692"/>
      <c r="MP280" s="692"/>
      <c r="MQ280" s="692"/>
      <c r="MR280" s="692"/>
      <c r="MS280" s="692"/>
      <c r="MT280" s="692"/>
      <c r="MU280" s="692"/>
      <c r="MV280" s="692"/>
      <c r="MW280" s="692"/>
      <c r="MX280" s="692"/>
      <c r="MY280" s="692"/>
      <c r="MZ280" s="692"/>
      <c r="NA280" s="692"/>
      <c r="NB280" s="692"/>
      <c r="NC280" s="692"/>
      <c r="ND280" s="692"/>
      <c r="NE280" s="692"/>
      <c r="NF280" s="692"/>
      <c r="NG280" s="692"/>
      <c r="NH280" s="692"/>
      <c r="NI280" s="692"/>
      <c r="NJ280" s="692"/>
      <c r="NK280" s="692"/>
      <c r="NL280" s="692"/>
      <c r="NM280" s="692"/>
      <c r="NN280" s="692"/>
      <c r="NO280" s="692"/>
      <c r="NP280" s="692"/>
      <c r="NQ280" s="692"/>
      <c r="NR280" s="692"/>
    </row>
    <row r="281" spans="1:382" ht="15.75" thickBot="1" x14ac:dyDescent="0.3">
      <c r="A281" s="681"/>
      <c r="B281" s="680" t="s">
        <v>1728</v>
      </c>
      <c r="C281" s="684">
        <f>'Conversion factors'!B11</f>
        <v>75</v>
      </c>
      <c r="D281" s="680" t="s">
        <v>1711</v>
      </c>
      <c r="E281" s="25"/>
      <c r="F281" s="203"/>
      <c r="G281" s="692"/>
      <c r="H281" s="692"/>
      <c r="I281" s="692"/>
      <c r="J281" s="692"/>
      <c r="K281" s="692"/>
      <c r="L281" s="692"/>
      <c r="M281" s="692"/>
      <c r="N281" s="692"/>
      <c r="O281" s="692"/>
      <c r="P281" s="692"/>
      <c r="Q281" s="692"/>
      <c r="R281" s="692"/>
      <c r="S281" s="692"/>
      <c r="T281" s="692"/>
      <c r="U281" s="692"/>
      <c r="V281" s="692"/>
      <c r="W281" s="692"/>
      <c r="X281" s="692"/>
      <c r="Y281" s="692"/>
      <c r="Z281" s="692"/>
      <c r="AA281" s="692"/>
      <c r="AB281" s="692"/>
      <c r="AC281" s="692"/>
      <c r="AD281" s="692"/>
      <c r="AE281" s="692"/>
      <c r="AF281" s="692"/>
      <c r="AG281" s="692"/>
      <c r="AH281" s="692"/>
      <c r="AI281" s="692"/>
      <c r="AJ281" s="692"/>
      <c r="AK281" s="692"/>
      <c r="AL281" s="692"/>
      <c r="AM281" s="692"/>
      <c r="AN281" s="692"/>
      <c r="AO281" s="692"/>
      <c r="AP281" s="692"/>
      <c r="AQ281" s="692"/>
      <c r="AR281" s="692"/>
      <c r="AS281" s="692"/>
      <c r="AT281" s="692"/>
      <c r="AU281" s="692"/>
      <c r="AV281" s="692"/>
      <c r="AW281" s="692"/>
      <c r="AX281" s="692"/>
      <c r="AY281" s="692"/>
      <c r="AZ281" s="692"/>
      <c r="BA281" s="692"/>
      <c r="BB281" s="692"/>
      <c r="BC281" s="692"/>
      <c r="BD281" s="692"/>
      <c r="BE281" s="692"/>
      <c r="BF281" s="692"/>
      <c r="BG281" s="692"/>
      <c r="BH281" s="692"/>
      <c r="BI281" s="692"/>
      <c r="BJ281" s="692"/>
      <c r="BK281" s="692"/>
      <c r="BL281" s="692"/>
      <c r="BM281" s="692"/>
      <c r="BN281" s="692"/>
      <c r="BO281" s="692"/>
      <c r="BP281" s="692"/>
      <c r="BQ281" s="692"/>
      <c r="BR281" s="692"/>
      <c r="BS281" s="692"/>
      <c r="BT281" s="692"/>
      <c r="BU281" s="692"/>
      <c r="BV281" s="692"/>
      <c r="BW281" s="692"/>
      <c r="BX281" s="692"/>
      <c r="BY281" s="692"/>
      <c r="BZ281" s="692"/>
      <c r="CA281" s="692"/>
      <c r="CB281" s="692"/>
      <c r="CC281" s="692"/>
      <c r="CD281" s="692"/>
      <c r="CE281" s="692"/>
      <c r="CF281" s="692"/>
      <c r="CG281" s="692"/>
      <c r="CH281" s="692"/>
      <c r="CI281" s="692"/>
      <c r="CJ281" s="692"/>
      <c r="CK281" s="692"/>
      <c r="CL281" s="692"/>
      <c r="CM281" s="692"/>
      <c r="CN281" s="692"/>
      <c r="CO281" s="692"/>
      <c r="CP281" s="692"/>
      <c r="CQ281" s="692"/>
      <c r="CR281" s="692"/>
      <c r="CS281" s="692"/>
      <c r="CT281" s="692"/>
      <c r="CU281" s="692"/>
      <c r="CV281" s="692"/>
      <c r="CW281" s="692"/>
      <c r="CX281" s="692"/>
      <c r="CY281" s="692"/>
      <c r="CZ281" s="692"/>
      <c r="DA281" s="692"/>
      <c r="DB281" s="692"/>
      <c r="DC281" s="692"/>
      <c r="DD281" s="692"/>
      <c r="DE281" s="692"/>
      <c r="DF281" s="692"/>
      <c r="DG281" s="692"/>
      <c r="DH281" s="692"/>
      <c r="DI281" s="692"/>
      <c r="DJ281" s="692"/>
      <c r="DK281" s="692"/>
      <c r="DL281" s="692"/>
      <c r="DM281" s="692"/>
      <c r="DN281" s="692"/>
      <c r="DO281" s="692"/>
      <c r="DP281" s="692"/>
      <c r="DQ281" s="692"/>
      <c r="DR281" s="692"/>
      <c r="DS281" s="692"/>
      <c r="DT281" s="692"/>
      <c r="DU281" s="692"/>
      <c r="DV281" s="692"/>
      <c r="DW281" s="692"/>
      <c r="DX281" s="692"/>
      <c r="DY281" s="692"/>
      <c r="DZ281" s="692"/>
      <c r="EA281" s="692"/>
      <c r="EB281" s="692"/>
      <c r="EC281" s="692"/>
      <c r="ED281" s="692"/>
      <c r="EE281" s="692"/>
      <c r="EF281" s="692"/>
      <c r="EG281" s="692"/>
      <c r="EH281" s="692"/>
      <c r="EI281" s="692"/>
      <c r="EJ281" s="692"/>
      <c r="EK281" s="692"/>
      <c r="EL281" s="692"/>
      <c r="EM281" s="692"/>
      <c r="EN281" s="692"/>
      <c r="EO281" s="692"/>
      <c r="EP281" s="692"/>
      <c r="EQ281" s="692"/>
      <c r="ER281" s="692"/>
      <c r="ES281" s="692"/>
      <c r="ET281" s="692"/>
      <c r="EU281" s="692"/>
      <c r="EV281" s="692"/>
      <c r="EW281" s="692"/>
      <c r="EX281" s="692"/>
      <c r="EY281" s="692"/>
      <c r="EZ281" s="692"/>
      <c r="FA281" s="692"/>
      <c r="FB281" s="692"/>
      <c r="FC281" s="692"/>
      <c r="FD281" s="692"/>
      <c r="FE281" s="692"/>
      <c r="FF281" s="692"/>
      <c r="FG281" s="692"/>
      <c r="FH281" s="692"/>
      <c r="FI281" s="692"/>
      <c r="FJ281" s="692"/>
      <c r="FK281" s="692"/>
      <c r="FL281" s="692"/>
      <c r="FM281" s="692"/>
      <c r="FN281" s="692"/>
      <c r="FO281" s="692"/>
      <c r="FP281" s="692"/>
      <c r="FQ281" s="692"/>
      <c r="FR281" s="692"/>
      <c r="FS281" s="692"/>
      <c r="FT281" s="692"/>
      <c r="FU281" s="692"/>
      <c r="FV281" s="692"/>
      <c r="FW281" s="692"/>
      <c r="FX281" s="692"/>
      <c r="FY281" s="692"/>
      <c r="FZ281" s="692"/>
      <c r="GA281" s="692"/>
      <c r="GB281" s="692"/>
      <c r="GC281" s="692"/>
      <c r="GD281" s="692"/>
      <c r="GE281" s="692"/>
      <c r="GF281" s="692"/>
      <c r="GG281" s="692"/>
      <c r="GH281" s="692"/>
      <c r="GI281" s="692"/>
      <c r="GJ281" s="692"/>
      <c r="GK281" s="692"/>
      <c r="GL281" s="692"/>
      <c r="GM281" s="692"/>
      <c r="GN281" s="692"/>
      <c r="GO281" s="692"/>
      <c r="GP281" s="692"/>
      <c r="GQ281" s="692"/>
      <c r="GR281" s="692"/>
      <c r="GS281" s="692"/>
      <c r="GT281" s="692"/>
      <c r="GU281" s="692"/>
      <c r="GV281" s="692"/>
      <c r="GW281" s="692"/>
      <c r="GX281" s="692"/>
      <c r="GY281" s="692"/>
      <c r="GZ281" s="692"/>
      <c r="HA281" s="692"/>
      <c r="HB281" s="692"/>
      <c r="HC281" s="692"/>
      <c r="HD281" s="692"/>
      <c r="HE281" s="692"/>
      <c r="HF281" s="692"/>
      <c r="HG281" s="692"/>
      <c r="HH281" s="692"/>
      <c r="HI281" s="692"/>
      <c r="HJ281" s="692"/>
      <c r="HK281" s="692"/>
      <c r="HL281" s="692"/>
      <c r="HM281" s="692"/>
      <c r="HN281" s="692"/>
      <c r="HO281" s="692"/>
      <c r="HP281" s="692"/>
      <c r="HQ281" s="692"/>
      <c r="HR281" s="692"/>
      <c r="HS281" s="692"/>
      <c r="HT281" s="692"/>
      <c r="HU281" s="692"/>
      <c r="HV281" s="692"/>
      <c r="HW281" s="692"/>
      <c r="HX281" s="692"/>
      <c r="HY281" s="692"/>
      <c r="HZ281" s="692"/>
      <c r="IA281" s="692"/>
      <c r="IB281" s="692"/>
      <c r="IC281" s="692"/>
      <c r="ID281" s="692"/>
      <c r="IE281" s="692"/>
      <c r="IF281" s="692"/>
      <c r="IG281" s="692"/>
      <c r="IH281" s="692"/>
      <c r="II281" s="692"/>
      <c r="IJ281" s="692"/>
      <c r="IK281" s="692"/>
      <c r="IL281" s="692"/>
      <c r="IM281" s="692"/>
      <c r="IN281" s="692"/>
      <c r="IO281" s="692"/>
      <c r="IP281" s="692"/>
      <c r="IQ281" s="692"/>
      <c r="IR281" s="692"/>
      <c r="IS281" s="692"/>
      <c r="IT281" s="692"/>
      <c r="IU281" s="692"/>
      <c r="IV281" s="692"/>
      <c r="IW281" s="692"/>
      <c r="IX281" s="692"/>
      <c r="IY281" s="692"/>
      <c r="IZ281" s="692"/>
      <c r="JA281" s="692"/>
      <c r="JB281" s="692"/>
      <c r="JC281" s="692"/>
      <c r="JD281" s="692"/>
      <c r="JE281" s="692"/>
      <c r="JF281" s="692"/>
      <c r="JG281" s="692"/>
      <c r="JH281" s="692"/>
      <c r="JI281" s="692"/>
      <c r="JJ281" s="692"/>
      <c r="JK281" s="692"/>
      <c r="JL281" s="692"/>
      <c r="JM281" s="692"/>
      <c r="JN281" s="692"/>
      <c r="JO281" s="692"/>
      <c r="JP281" s="692"/>
      <c r="JQ281" s="692"/>
      <c r="JR281" s="692"/>
      <c r="JS281" s="692"/>
      <c r="JT281" s="692"/>
      <c r="JU281" s="692"/>
      <c r="JV281" s="692"/>
      <c r="JW281" s="692"/>
      <c r="JX281" s="692"/>
      <c r="JY281" s="692"/>
      <c r="JZ281" s="692"/>
      <c r="KA281" s="692"/>
      <c r="KB281" s="692"/>
      <c r="KC281" s="692"/>
      <c r="KD281" s="692"/>
      <c r="KE281" s="692"/>
      <c r="KF281" s="692"/>
      <c r="KG281" s="692"/>
      <c r="KH281" s="692"/>
      <c r="KI281" s="692"/>
      <c r="KJ281" s="692"/>
      <c r="KK281" s="692"/>
      <c r="KL281" s="692"/>
      <c r="KM281" s="692"/>
      <c r="KN281" s="692"/>
      <c r="KO281" s="692"/>
      <c r="KP281" s="692"/>
      <c r="KQ281" s="692"/>
      <c r="KR281" s="692"/>
      <c r="KS281" s="692"/>
      <c r="KT281" s="692"/>
      <c r="KU281" s="692"/>
      <c r="KV281" s="692"/>
      <c r="KW281" s="692"/>
      <c r="KX281" s="692"/>
      <c r="KY281" s="692"/>
      <c r="KZ281" s="692"/>
      <c r="LA281" s="692"/>
      <c r="LB281" s="692"/>
      <c r="LC281" s="692"/>
      <c r="LD281" s="692"/>
      <c r="LE281" s="692"/>
      <c r="LF281" s="692"/>
      <c r="LG281" s="692"/>
      <c r="LH281" s="692"/>
      <c r="LI281" s="692"/>
      <c r="LJ281" s="692"/>
      <c r="LK281" s="692"/>
      <c r="LL281" s="692"/>
      <c r="LM281" s="692"/>
      <c r="LN281" s="692"/>
      <c r="LO281" s="692"/>
      <c r="LP281" s="692"/>
      <c r="LQ281" s="692"/>
      <c r="LR281" s="692"/>
      <c r="LS281" s="692"/>
      <c r="LT281" s="692"/>
      <c r="LU281" s="692"/>
      <c r="LV281" s="692"/>
      <c r="LW281" s="692"/>
      <c r="LX281" s="692"/>
      <c r="LY281" s="692"/>
      <c r="LZ281" s="692"/>
      <c r="MA281" s="692"/>
      <c r="MB281" s="692"/>
      <c r="MC281" s="692"/>
      <c r="MD281" s="692"/>
      <c r="ME281" s="692"/>
      <c r="MF281" s="692"/>
      <c r="MG281" s="692"/>
      <c r="MH281" s="692"/>
      <c r="MI281" s="692"/>
      <c r="MJ281" s="692"/>
      <c r="MK281" s="692"/>
      <c r="ML281" s="692"/>
      <c r="MM281" s="692"/>
      <c r="MN281" s="692"/>
      <c r="MO281" s="692"/>
      <c r="MP281" s="692"/>
      <c r="MQ281" s="692"/>
      <c r="MR281" s="692"/>
      <c r="MS281" s="692"/>
      <c r="MT281" s="692"/>
      <c r="MU281" s="692"/>
      <c r="MV281" s="692"/>
      <c r="MW281" s="692"/>
      <c r="MX281" s="692"/>
      <c r="MY281" s="692"/>
      <c r="MZ281" s="692"/>
      <c r="NA281" s="692"/>
      <c r="NB281" s="692"/>
      <c r="NC281" s="692"/>
      <c r="ND281" s="692"/>
      <c r="NE281" s="692"/>
      <c r="NF281" s="692"/>
      <c r="NG281" s="692"/>
      <c r="NH281" s="692"/>
      <c r="NI281" s="692"/>
      <c r="NJ281" s="692"/>
      <c r="NK281" s="692"/>
      <c r="NL281" s="692"/>
      <c r="NM281" s="692"/>
      <c r="NN281" s="692"/>
      <c r="NO281" s="692"/>
      <c r="NP281" s="692"/>
      <c r="NQ281" s="692"/>
      <c r="NR281" s="692"/>
    </row>
    <row r="282" spans="1:382" ht="15.75" thickBot="1" x14ac:dyDescent="0.3">
      <c r="A282" s="681"/>
      <c r="B282" s="189" t="s">
        <v>1715</v>
      </c>
      <c r="C282" s="701">
        <f>C278*C281</f>
        <v>0</v>
      </c>
      <c r="D282" s="680" t="s">
        <v>1575</v>
      </c>
      <c r="E282" s="25"/>
      <c r="F282" s="203"/>
      <c r="G282" s="692"/>
      <c r="H282" s="692"/>
      <c r="I282" s="692"/>
      <c r="J282" s="692"/>
      <c r="K282" s="692"/>
      <c r="L282" s="692"/>
      <c r="M282" s="692"/>
      <c r="N282" s="692"/>
      <c r="O282" s="692"/>
      <c r="P282" s="692"/>
      <c r="Q282" s="692"/>
      <c r="R282" s="692"/>
      <c r="S282" s="692"/>
      <c r="T282" s="692"/>
      <c r="U282" s="692"/>
      <c r="V282" s="692"/>
      <c r="W282" s="692"/>
      <c r="X282" s="692"/>
      <c r="Y282" s="692"/>
      <c r="Z282" s="692"/>
      <c r="AA282" s="692"/>
      <c r="AB282" s="692"/>
      <c r="AC282" s="692"/>
      <c r="AD282" s="692"/>
      <c r="AE282" s="692"/>
      <c r="AF282" s="692"/>
      <c r="AG282" s="692"/>
      <c r="AH282" s="692"/>
      <c r="AI282" s="692"/>
      <c r="AJ282" s="692"/>
      <c r="AK282" s="692"/>
      <c r="AL282" s="692"/>
      <c r="AM282" s="692"/>
      <c r="AN282" s="692"/>
      <c r="AO282" s="692"/>
      <c r="AP282" s="692"/>
      <c r="AQ282" s="692"/>
      <c r="AR282" s="692"/>
      <c r="AS282" s="692"/>
      <c r="AT282" s="692"/>
      <c r="AU282" s="692"/>
      <c r="AV282" s="692"/>
      <c r="AW282" s="692"/>
      <c r="AX282" s="692"/>
      <c r="AY282" s="692"/>
      <c r="AZ282" s="692"/>
      <c r="BA282" s="692"/>
      <c r="BB282" s="692"/>
      <c r="BC282" s="692"/>
      <c r="BD282" s="692"/>
      <c r="BE282" s="692"/>
      <c r="BF282" s="692"/>
      <c r="BG282" s="692"/>
      <c r="BH282" s="692"/>
      <c r="BI282" s="692"/>
      <c r="BJ282" s="692"/>
      <c r="BK282" s="692"/>
      <c r="BL282" s="692"/>
      <c r="BM282" s="692"/>
      <c r="BN282" s="692"/>
      <c r="BO282" s="692"/>
      <c r="BP282" s="692"/>
      <c r="BQ282" s="692"/>
      <c r="BR282" s="692"/>
      <c r="BS282" s="692"/>
      <c r="BT282" s="692"/>
      <c r="BU282" s="692"/>
      <c r="BV282" s="692"/>
      <c r="BW282" s="692"/>
      <c r="BX282" s="692"/>
      <c r="BY282" s="692"/>
      <c r="BZ282" s="692"/>
      <c r="CA282" s="692"/>
      <c r="CB282" s="692"/>
      <c r="CC282" s="692"/>
      <c r="CD282" s="692"/>
      <c r="CE282" s="692"/>
      <c r="CF282" s="692"/>
      <c r="CG282" s="692"/>
      <c r="CH282" s="692"/>
      <c r="CI282" s="692"/>
      <c r="CJ282" s="692"/>
      <c r="CK282" s="692"/>
      <c r="CL282" s="692"/>
      <c r="CM282" s="692"/>
      <c r="CN282" s="692"/>
      <c r="CO282" s="692"/>
      <c r="CP282" s="692"/>
      <c r="CQ282" s="692"/>
      <c r="CR282" s="692"/>
      <c r="CS282" s="692"/>
      <c r="CT282" s="692"/>
      <c r="CU282" s="692"/>
      <c r="CV282" s="692"/>
      <c r="CW282" s="692"/>
      <c r="CX282" s="692"/>
      <c r="CY282" s="692"/>
      <c r="CZ282" s="692"/>
      <c r="DA282" s="692"/>
      <c r="DB282" s="692"/>
      <c r="DC282" s="692"/>
      <c r="DD282" s="692"/>
      <c r="DE282" s="692"/>
      <c r="DF282" s="692"/>
      <c r="DG282" s="692"/>
      <c r="DH282" s="692"/>
      <c r="DI282" s="692"/>
      <c r="DJ282" s="692"/>
      <c r="DK282" s="692"/>
      <c r="DL282" s="692"/>
      <c r="DM282" s="692"/>
      <c r="DN282" s="692"/>
      <c r="DO282" s="692"/>
      <c r="DP282" s="692"/>
      <c r="DQ282" s="692"/>
      <c r="DR282" s="692"/>
      <c r="DS282" s="692"/>
      <c r="DT282" s="692"/>
      <c r="DU282" s="692"/>
      <c r="DV282" s="692"/>
      <c r="DW282" s="692"/>
      <c r="DX282" s="692"/>
      <c r="DY282" s="692"/>
      <c r="DZ282" s="692"/>
      <c r="EA282" s="692"/>
      <c r="EB282" s="692"/>
      <c r="EC282" s="692"/>
      <c r="ED282" s="692"/>
      <c r="EE282" s="692"/>
      <c r="EF282" s="692"/>
      <c r="EG282" s="692"/>
      <c r="EH282" s="692"/>
      <c r="EI282" s="692"/>
      <c r="EJ282" s="692"/>
      <c r="EK282" s="692"/>
      <c r="EL282" s="692"/>
      <c r="EM282" s="692"/>
      <c r="EN282" s="692"/>
      <c r="EO282" s="692"/>
      <c r="EP282" s="692"/>
      <c r="EQ282" s="692"/>
      <c r="ER282" s="692"/>
      <c r="ES282" s="692"/>
      <c r="ET282" s="692"/>
      <c r="EU282" s="692"/>
      <c r="EV282" s="692"/>
      <c r="EW282" s="692"/>
      <c r="EX282" s="692"/>
      <c r="EY282" s="692"/>
      <c r="EZ282" s="692"/>
      <c r="FA282" s="692"/>
      <c r="FB282" s="692"/>
      <c r="FC282" s="692"/>
      <c r="FD282" s="692"/>
      <c r="FE282" s="692"/>
      <c r="FF282" s="692"/>
      <c r="FG282" s="692"/>
      <c r="FH282" s="692"/>
      <c r="FI282" s="692"/>
      <c r="FJ282" s="692"/>
      <c r="FK282" s="692"/>
      <c r="FL282" s="692"/>
      <c r="FM282" s="692"/>
      <c r="FN282" s="692"/>
      <c r="FO282" s="692"/>
      <c r="FP282" s="692"/>
      <c r="FQ282" s="692"/>
      <c r="FR282" s="692"/>
      <c r="FS282" s="692"/>
      <c r="FT282" s="692"/>
      <c r="FU282" s="692"/>
      <c r="FV282" s="692"/>
      <c r="FW282" s="692"/>
      <c r="FX282" s="692"/>
      <c r="FY282" s="692"/>
      <c r="FZ282" s="692"/>
      <c r="GA282" s="692"/>
      <c r="GB282" s="692"/>
      <c r="GC282" s="692"/>
      <c r="GD282" s="692"/>
      <c r="GE282" s="692"/>
      <c r="GF282" s="692"/>
      <c r="GG282" s="692"/>
      <c r="GH282" s="692"/>
      <c r="GI282" s="692"/>
      <c r="GJ282" s="692"/>
      <c r="GK282" s="692"/>
      <c r="GL282" s="692"/>
      <c r="GM282" s="692"/>
      <c r="GN282" s="692"/>
      <c r="GO282" s="692"/>
      <c r="GP282" s="692"/>
      <c r="GQ282" s="692"/>
      <c r="GR282" s="692"/>
      <c r="GS282" s="692"/>
      <c r="GT282" s="692"/>
      <c r="GU282" s="692"/>
      <c r="GV282" s="692"/>
      <c r="GW282" s="692"/>
      <c r="GX282" s="692"/>
      <c r="GY282" s="692"/>
      <c r="GZ282" s="692"/>
      <c r="HA282" s="692"/>
      <c r="HB282" s="692"/>
      <c r="HC282" s="692"/>
      <c r="HD282" s="692"/>
      <c r="HE282" s="692"/>
      <c r="HF282" s="692"/>
      <c r="HG282" s="692"/>
      <c r="HH282" s="692"/>
      <c r="HI282" s="692"/>
      <c r="HJ282" s="692"/>
      <c r="HK282" s="692"/>
      <c r="HL282" s="692"/>
      <c r="HM282" s="692"/>
      <c r="HN282" s="692"/>
      <c r="HO282" s="692"/>
      <c r="HP282" s="692"/>
      <c r="HQ282" s="692"/>
      <c r="HR282" s="692"/>
      <c r="HS282" s="692"/>
      <c r="HT282" s="692"/>
      <c r="HU282" s="692"/>
      <c r="HV282" s="692"/>
      <c r="HW282" s="692"/>
      <c r="HX282" s="692"/>
      <c r="HY282" s="692"/>
      <c r="HZ282" s="692"/>
      <c r="IA282" s="692"/>
      <c r="IB282" s="692"/>
      <c r="IC282" s="692"/>
      <c r="ID282" s="692"/>
      <c r="IE282" s="692"/>
      <c r="IF282" s="692"/>
      <c r="IG282" s="692"/>
      <c r="IH282" s="692"/>
      <c r="II282" s="692"/>
      <c r="IJ282" s="692"/>
      <c r="IK282" s="692"/>
      <c r="IL282" s="692"/>
      <c r="IM282" s="692"/>
      <c r="IN282" s="692"/>
      <c r="IO282" s="692"/>
      <c r="IP282" s="692"/>
      <c r="IQ282" s="692"/>
      <c r="IR282" s="692"/>
      <c r="IS282" s="692"/>
      <c r="IT282" s="692"/>
      <c r="IU282" s="692"/>
      <c r="IV282" s="692"/>
      <c r="IW282" s="692"/>
      <c r="IX282" s="692"/>
      <c r="IY282" s="692"/>
      <c r="IZ282" s="692"/>
      <c r="JA282" s="692"/>
      <c r="JB282" s="692"/>
      <c r="JC282" s="692"/>
      <c r="JD282" s="692"/>
      <c r="JE282" s="692"/>
      <c r="JF282" s="692"/>
      <c r="JG282" s="692"/>
      <c r="JH282" s="692"/>
      <c r="JI282" s="692"/>
      <c r="JJ282" s="692"/>
      <c r="JK282" s="692"/>
      <c r="JL282" s="692"/>
      <c r="JM282" s="692"/>
      <c r="JN282" s="692"/>
      <c r="JO282" s="692"/>
      <c r="JP282" s="692"/>
      <c r="JQ282" s="692"/>
      <c r="JR282" s="692"/>
      <c r="JS282" s="692"/>
      <c r="JT282" s="692"/>
      <c r="JU282" s="692"/>
      <c r="JV282" s="692"/>
      <c r="JW282" s="692"/>
      <c r="JX282" s="692"/>
      <c r="JY282" s="692"/>
      <c r="JZ282" s="692"/>
      <c r="KA282" s="692"/>
      <c r="KB282" s="692"/>
      <c r="KC282" s="692"/>
      <c r="KD282" s="692"/>
      <c r="KE282" s="692"/>
      <c r="KF282" s="692"/>
      <c r="KG282" s="692"/>
      <c r="KH282" s="692"/>
      <c r="KI282" s="692"/>
      <c r="KJ282" s="692"/>
      <c r="KK282" s="692"/>
      <c r="KL282" s="692"/>
      <c r="KM282" s="692"/>
      <c r="KN282" s="692"/>
      <c r="KO282" s="692"/>
      <c r="KP282" s="692"/>
      <c r="KQ282" s="692"/>
      <c r="KR282" s="692"/>
      <c r="KS282" s="692"/>
      <c r="KT282" s="692"/>
      <c r="KU282" s="692"/>
      <c r="KV282" s="692"/>
      <c r="KW282" s="692"/>
      <c r="KX282" s="692"/>
      <c r="KY282" s="692"/>
      <c r="KZ282" s="692"/>
      <c r="LA282" s="692"/>
      <c r="LB282" s="692"/>
      <c r="LC282" s="692"/>
      <c r="LD282" s="692"/>
      <c r="LE282" s="692"/>
      <c r="LF282" s="692"/>
      <c r="LG282" s="692"/>
      <c r="LH282" s="692"/>
      <c r="LI282" s="692"/>
      <c r="LJ282" s="692"/>
      <c r="LK282" s="692"/>
      <c r="LL282" s="692"/>
      <c r="LM282" s="692"/>
      <c r="LN282" s="692"/>
      <c r="LO282" s="692"/>
      <c r="LP282" s="692"/>
      <c r="LQ282" s="692"/>
      <c r="LR282" s="692"/>
      <c r="LS282" s="692"/>
      <c r="LT282" s="692"/>
      <c r="LU282" s="692"/>
      <c r="LV282" s="692"/>
      <c r="LW282" s="692"/>
      <c r="LX282" s="692"/>
      <c r="LY282" s="692"/>
      <c r="LZ282" s="692"/>
      <c r="MA282" s="692"/>
      <c r="MB282" s="692"/>
      <c r="MC282" s="692"/>
      <c r="MD282" s="692"/>
      <c r="ME282" s="692"/>
      <c r="MF282" s="692"/>
      <c r="MG282" s="692"/>
      <c r="MH282" s="692"/>
      <c r="MI282" s="692"/>
      <c r="MJ282" s="692"/>
      <c r="MK282" s="692"/>
      <c r="ML282" s="692"/>
      <c r="MM282" s="692"/>
      <c r="MN282" s="692"/>
      <c r="MO282" s="692"/>
      <c r="MP282" s="692"/>
      <c r="MQ282" s="692"/>
      <c r="MR282" s="692"/>
      <c r="MS282" s="692"/>
      <c r="MT282" s="692"/>
      <c r="MU282" s="692"/>
      <c r="MV282" s="692"/>
      <c r="MW282" s="692"/>
      <c r="MX282" s="692"/>
      <c r="MY282" s="692"/>
      <c r="MZ282" s="692"/>
      <c r="NA282" s="692"/>
      <c r="NB282" s="692"/>
      <c r="NC282" s="692"/>
      <c r="ND282" s="692"/>
      <c r="NE282" s="692"/>
      <c r="NF282" s="692"/>
      <c r="NG282" s="692"/>
      <c r="NH282" s="692"/>
      <c r="NI282" s="692"/>
      <c r="NJ282" s="692"/>
      <c r="NK282" s="692"/>
      <c r="NL282" s="692"/>
      <c r="NM282" s="692"/>
      <c r="NN282" s="692"/>
      <c r="NO282" s="692"/>
      <c r="NP282" s="692"/>
      <c r="NQ282" s="692"/>
      <c r="NR282" s="692"/>
    </row>
    <row r="283" spans="1:382" ht="15.75" thickBot="1" x14ac:dyDescent="0.3">
      <c r="A283" s="681"/>
      <c r="B283" s="680"/>
      <c r="C283" s="509"/>
      <c r="D283" s="680"/>
      <c r="E283" s="25"/>
      <c r="F283" s="203"/>
      <c r="G283" s="692"/>
      <c r="H283" s="692"/>
      <c r="I283" s="692"/>
      <c r="J283" s="692"/>
      <c r="K283" s="692"/>
      <c r="L283" s="692"/>
      <c r="M283" s="692"/>
      <c r="N283" s="692"/>
      <c r="O283" s="692"/>
      <c r="P283" s="692"/>
      <c r="Q283" s="692"/>
      <c r="R283" s="692"/>
      <c r="S283" s="692"/>
      <c r="T283" s="692"/>
      <c r="U283" s="692"/>
      <c r="V283" s="692"/>
      <c r="W283" s="692"/>
      <c r="X283" s="692"/>
      <c r="Y283" s="692"/>
      <c r="Z283" s="692"/>
      <c r="AA283" s="692"/>
      <c r="AB283" s="692"/>
      <c r="AC283" s="692"/>
      <c r="AD283" s="692"/>
      <c r="AE283" s="692"/>
      <c r="AF283" s="692"/>
      <c r="AG283" s="692"/>
      <c r="AH283" s="692"/>
      <c r="AI283" s="692"/>
      <c r="AJ283" s="692"/>
      <c r="AK283" s="692"/>
      <c r="AL283" s="692"/>
      <c r="AM283" s="692"/>
      <c r="AN283" s="692"/>
      <c r="AO283" s="692"/>
      <c r="AP283" s="692"/>
      <c r="AQ283" s="692"/>
      <c r="AR283" s="692"/>
      <c r="AS283" s="692"/>
      <c r="AT283" s="692"/>
      <c r="AU283" s="692"/>
      <c r="AV283" s="692"/>
      <c r="AW283" s="692"/>
      <c r="AX283" s="692"/>
      <c r="AY283" s="692"/>
      <c r="AZ283" s="692"/>
      <c r="BA283" s="692"/>
      <c r="BB283" s="692"/>
      <c r="BC283" s="692"/>
      <c r="BD283" s="692"/>
      <c r="BE283" s="692"/>
      <c r="BF283" s="692"/>
      <c r="BG283" s="692"/>
      <c r="BH283" s="692"/>
      <c r="BI283" s="692"/>
      <c r="BJ283" s="692"/>
      <c r="BK283" s="692"/>
      <c r="BL283" s="692"/>
      <c r="BM283" s="692"/>
      <c r="BN283" s="692"/>
      <c r="BO283" s="692"/>
      <c r="BP283" s="692"/>
      <c r="BQ283" s="692"/>
      <c r="BR283" s="692"/>
      <c r="BS283" s="692"/>
      <c r="BT283" s="692"/>
      <c r="BU283" s="692"/>
      <c r="BV283" s="692"/>
      <c r="BW283" s="692"/>
      <c r="BX283" s="692"/>
      <c r="BY283" s="692"/>
      <c r="BZ283" s="692"/>
      <c r="CA283" s="692"/>
      <c r="CB283" s="692"/>
      <c r="CC283" s="692"/>
      <c r="CD283" s="692"/>
      <c r="CE283" s="692"/>
      <c r="CF283" s="692"/>
      <c r="CG283" s="692"/>
      <c r="CH283" s="692"/>
      <c r="CI283" s="692"/>
      <c r="CJ283" s="692"/>
      <c r="CK283" s="692"/>
      <c r="CL283" s="692"/>
      <c r="CM283" s="692"/>
      <c r="CN283" s="692"/>
      <c r="CO283" s="692"/>
      <c r="CP283" s="692"/>
      <c r="CQ283" s="692"/>
      <c r="CR283" s="692"/>
      <c r="CS283" s="692"/>
      <c r="CT283" s="692"/>
      <c r="CU283" s="692"/>
      <c r="CV283" s="692"/>
      <c r="CW283" s="692"/>
      <c r="CX283" s="692"/>
      <c r="CY283" s="692"/>
      <c r="CZ283" s="692"/>
      <c r="DA283" s="692"/>
      <c r="DB283" s="692"/>
      <c r="DC283" s="692"/>
      <c r="DD283" s="692"/>
      <c r="DE283" s="692"/>
      <c r="DF283" s="692"/>
      <c r="DG283" s="692"/>
      <c r="DH283" s="692"/>
      <c r="DI283" s="692"/>
      <c r="DJ283" s="692"/>
      <c r="DK283" s="692"/>
      <c r="DL283" s="692"/>
      <c r="DM283" s="692"/>
      <c r="DN283" s="692"/>
      <c r="DO283" s="692"/>
      <c r="DP283" s="692"/>
      <c r="DQ283" s="692"/>
      <c r="DR283" s="692"/>
      <c r="DS283" s="692"/>
      <c r="DT283" s="692"/>
      <c r="DU283" s="692"/>
      <c r="DV283" s="692"/>
      <c r="DW283" s="692"/>
      <c r="DX283" s="692"/>
      <c r="DY283" s="692"/>
      <c r="DZ283" s="692"/>
      <c r="EA283" s="692"/>
      <c r="EB283" s="692"/>
      <c r="EC283" s="692"/>
      <c r="ED283" s="692"/>
      <c r="EE283" s="692"/>
      <c r="EF283" s="692"/>
      <c r="EG283" s="692"/>
      <c r="EH283" s="692"/>
      <c r="EI283" s="692"/>
      <c r="EJ283" s="692"/>
      <c r="EK283" s="692"/>
      <c r="EL283" s="692"/>
      <c r="EM283" s="692"/>
      <c r="EN283" s="692"/>
      <c r="EO283" s="692"/>
      <c r="EP283" s="692"/>
      <c r="EQ283" s="692"/>
      <c r="ER283" s="692"/>
      <c r="ES283" s="692"/>
      <c r="ET283" s="692"/>
      <c r="EU283" s="692"/>
      <c r="EV283" s="692"/>
      <c r="EW283" s="692"/>
      <c r="EX283" s="692"/>
      <c r="EY283" s="692"/>
      <c r="EZ283" s="692"/>
      <c r="FA283" s="692"/>
      <c r="FB283" s="692"/>
      <c r="FC283" s="692"/>
      <c r="FD283" s="692"/>
      <c r="FE283" s="692"/>
      <c r="FF283" s="692"/>
      <c r="FG283" s="692"/>
      <c r="FH283" s="692"/>
      <c r="FI283" s="692"/>
      <c r="FJ283" s="692"/>
      <c r="FK283" s="692"/>
      <c r="FL283" s="692"/>
      <c r="FM283" s="692"/>
      <c r="FN283" s="692"/>
      <c r="FO283" s="692"/>
      <c r="FP283" s="692"/>
      <c r="FQ283" s="692"/>
      <c r="FR283" s="692"/>
      <c r="FS283" s="692"/>
      <c r="FT283" s="692"/>
      <c r="FU283" s="692"/>
      <c r="FV283" s="692"/>
      <c r="FW283" s="692"/>
      <c r="FX283" s="692"/>
      <c r="FY283" s="692"/>
      <c r="FZ283" s="692"/>
      <c r="GA283" s="692"/>
      <c r="GB283" s="692"/>
      <c r="GC283" s="692"/>
      <c r="GD283" s="692"/>
      <c r="GE283" s="692"/>
      <c r="GF283" s="692"/>
      <c r="GG283" s="692"/>
      <c r="GH283" s="692"/>
      <c r="GI283" s="692"/>
      <c r="GJ283" s="692"/>
      <c r="GK283" s="692"/>
      <c r="GL283" s="692"/>
      <c r="GM283" s="692"/>
      <c r="GN283" s="692"/>
      <c r="GO283" s="692"/>
      <c r="GP283" s="692"/>
      <c r="GQ283" s="692"/>
      <c r="GR283" s="692"/>
      <c r="GS283" s="692"/>
      <c r="GT283" s="692"/>
      <c r="GU283" s="692"/>
      <c r="GV283" s="692"/>
      <c r="GW283" s="692"/>
      <c r="GX283" s="692"/>
      <c r="GY283" s="692"/>
      <c r="GZ283" s="692"/>
      <c r="HA283" s="692"/>
      <c r="HB283" s="692"/>
      <c r="HC283" s="692"/>
      <c r="HD283" s="692"/>
      <c r="HE283" s="692"/>
      <c r="HF283" s="692"/>
      <c r="HG283" s="692"/>
      <c r="HH283" s="692"/>
      <c r="HI283" s="692"/>
      <c r="HJ283" s="692"/>
      <c r="HK283" s="692"/>
      <c r="HL283" s="692"/>
      <c r="HM283" s="692"/>
      <c r="HN283" s="692"/>
      <c r="HO283" s="692"/>
      <c r="HP283" s="692"/>
      <c r="HQ283" s="692"/>
      <c r="HR283" s="692"/>
      <c r="HS283" s="692"/>
      <c r="HT283" s="692"/>
      <c r="HU283" s="692"/>
      <c r="HV283" s="692"/>
      <c r="HW283" s="692"/>
      <c r="HX283" s="692"/>
      <c r="HY283" s="692"/>
      <c r="HZ283" s="692"/>
      <c r="IA283" s="692"/>
      <c r="IB283" s="692"/>
      <c r="IC283" s="692"/>
      <c r="ID283" s="692"/>
      <c r="IE283" s="692"/>
      <c r="IF283" s="692"/>
      <c r="IG283" s="692"/>
      <c r="IH283" s="692"/>
      <c r="II283" s="692"/>
      <c r="IJ283" s="692"/>
      <c r="IK283" s="692"/>
      <c r="IL283" s="692"/>
      <c r="IM283" s="692"/>
      <c r="IN283" s="692"/>
      <c r="IO283" s="692"/>
      <c r="IP283" s="692"/>
      <c r="IQ283" s="692"/>
      <c r="IR283" s="692"/>
      <c r="IS283" s="692"/>
      <c r="IT283" s="692"/>
      <c r="IU283" s="692"/>
      <c r="IV283" s="692"/>
      <c r="IW283" s="692"/>
      <c r="IX283" s="692"/>
      <c r="IY283" s="692"/>
      <c r="IZ283" s="692"/>
      <c r="JA283" s="692"/>
      <c r="JB283" s="692"/>
      <c r="JC283" s="692"/>
      <c r="JD283" s="692"/>
      <c r="JE283" s="692"/>
      <c r="JF283" s="692"/>
      <c r="JG283" s="692"/>
      <c r="JH283" s="692"/>
      <c r="JI283" s="692"/>
      <c r="JJ283" s="692"/>
      <c r="JK283" s="692"/>
      <c r="JL283" s="692"/>
      <c r="JM283" s="692"/>
      <c r="JN283" s="692"/>
      <c r="JO283" s="692"/>
      <c r="JP283" s="692"/>
      <c r="JQ283" s="692"/>
      <c r="JR283" s="692"/>
      <c r="JS283" s="692"/>
      <c r="JT283" s="692"/>
      <c r="JU283" s="692"/>
      <c r="JV283" s="692"/>
      <c r="JW283" s="692"/>
      <c r="JX283" s="692"/>
      <c r="JY283" s="692"/>
      <c r="JZ283" s="692"/>
      <c r="KA283" s="692"/>
      <c r="KB283" s="692"/>
      <c r="KC283" s="692"/>
      <c r="KD283" s="692"/>
      <c r="KE283" s="692"/>
      <c r="KF283" s="692"/>
      <c r="KG283" s="692"/>
      <c r="KH283" s="692"/>
      <c r="KI283" s="692"/>
      <c r="KJ283" s="692"/>
      <c r="KK283" s="692"/>
      <c r="KL283" s="692"/>
      <c r="KM283" s="692"/>
      <c r="KN283" s="692"/>
      <c r="KO283" s="692"/>
      <c r="KP283" s="692"/>
      <c r="KQ283" s="692"/>
      <c r="KR283" s="692"/>
      <c r="KS283" s="692"/>
      <c r="KT283" s="692"/>
      <c r="KU283" s="692"/>
      <c r="KV283" s="692"/>
      <c r="KW283" s="692"/>
      <c r="KX283" s="692"/>
      <c r="KY283" s="692"/>
      <c r="KZ283" s="692"/>
      <c r="LA283" s="692"/>
      <c r="LB283" s="692"/>
      <c r="LC283" s="692"/>
      <c r="LD283" s="692"/>
      <c r="LE283" s="692"/>
      <c r="LF283" s="692"/>
      <c r="LG283" s="692"/>
      <c r="LH283" s="692"/>
      <c r="LI283" s="692"/>
      <c r="LJ283" s="692"/>
      <c r="LK283" s="692"/>
      <c r="LL283" s="692"/>
      <c r="LM283" s="692"/>
      <c r="LN283" s="692"/>
      <c r="LO283" s="692"/>
      <c r="LP283" s="692"/>
      <c r="LQ283" s="692"/>
      <c r="LR283" s="692"/>
      <c r="LS283" s="692"/>
      <c r="LT283" s="692"/>
      <c r="LU283" s="692"/>
      <c r="LV283" s="692"/>
      <c r="LW283" s="692"/>
      <c r="LX283" s="692"/>
      <c r="LY283" s="692"/>
      <c r="LZ283" s="692"/>
      <c r="MA283" s="692"/>
      <c r="MB283" s="692"/>
      <c r="MC283" s="692"/>
      <c r="MD283" s="692"/>
      <c r="ME283" s="692"/>
      <c r="MF283" s="692"/>
      <c r="MG283" s="692"/>
      <c r="MH283" s="692"/>
      <c r="MI283" s="692"/>
      <c r="MJ283" s="692"/>
      <c r="MK283" s="692"/>
      <c r="ML283" s="692"/>
      <c r="MM283" s="692"/>
      <c r="MN283" s="692"/>
      <c r="MO283" s="692"/>
      <c r="MP283" s="692"/>
      <c r="MQ283" s="692"/>
      <c r="MR283" s="692"/>
      <c r="MS283" s="692"/>
      <c r="MT283" s="692"/>
      <c r="MU283" s="692"/>
      <c r="MV283" s="692"/>
      <c r="MW283" s="692"/>
      <c r="MX283" s="692"/>
      <c r="MY283" s="692"/>
      <c r="MZ283" s="692"/>
      <c r="NA283" s="692"/>
      <c r="NB283" s="692"/>
      <c r="NC283" s="692"/>
      <c r="ND283" s="692"/>
      <c r="NE283" s="692"/>
      <c r="NF283" s="692"/>
      <c r="NG283" s="692"/>
      <c r="NH283" s="692"/>
      <c r="NI283" s="692"/>
      <c r="NJ283" s="692"/>
      <c r="NK283" s="692"/>
      <c r="NL283" s="692"/>
      <c r="NM283" s="692"/>
      <c r="NN283" s="692"/>
      <c r="NO283" s="692"/>
      <c r="NP283" s="692"/>
      <c r="NQ283" s="692"/>
      <c r="NR283" s="692"/>
    </row>
    <row r="284" spans="1:382" ht="15.75" thickBot="1" x14ac:dyDescent="0.3">
      <c r="A284" s="681"/>
      <c r="B284" s="680" t="s">
        <v>1081</v>
      </c>
      <c r="C284" s="747">
        <f>'Input Data'!$E$309</f>
        <v>0</v>
      </c>
      <c r="D284" s="680" t="s">
        <v>667</v>
      </c>
      <c r="E284" s="25"/>
      <c r="F284" s="203"/>
      <c r="G284" s="692"/>
      <c r="H284" s="692"/>
      <c r="I284" s="692"/>
      <c r="J284" s="692"/>
      <c r="K284" s="692"/>
      <c r="L284" s="692"/>
      <c r="M284" s="692"/>
      <c r="N284" s="692"/>
      <c r="O284" s="692"/>
      <c r="P284" s="692"/>
      <c r="Q284" s="692"/>
      <c r="R284" s="692"/>
      <c r="S284" s="692"/>
      <c r="T284" s="692"/>
      <c r="U284" s="692"/>
      <c r="V284" s="692"/>
      <c r="W284" s="692"/>
      <c r="X284" s="692"/>
      <c r="Y284" s="692"/>
      <c r="Z284" s="692"/>
      <c r="AA284" s="692"/>
      <c r="AB284" s="692"/>
      <c r="AC284" s="692"/>
      <c r="AD284" s="692"/>
      <c r="AE284" s="692"/>
      <c r="AF284" s="692"/>
      <c r="AG284" s="692"/>
      <c r="AH284" s="692"/>
      <c r="AI284" s="692"/>
      <c r="AJ284" s="692"/>
      <c r="AK284" s="692"/>
      <c r="AL284" s="692"/>
      <c r="AM284" s="692"/>
      <c r="AN284" s="692"/>
      <c r="AO284" s="692"/>
      <c r="AP284" s="692"/>
      <c r="AQ284" s="692"/>
      <c r="AR284" s="692"/>
      <c r="AS284" s="692"/>
      <c r="AT284" s="692"/>
      <c r="AU284" s="692"/>
      <c r="AV284" s="692"/>
      <c r="AW284" s="692"/>
      <c r="AX284" s="692"/>
      <c r="AY284" s="692"/>
      <c r="AZ284" s="692"/>
      <c r="BA284" s="692"/>
      <c r="BB284" s="692"/>
      <c r="BC284" s="692"/>
      <c r="BD284" s="692"/>
      <c r="BE284" s="692"/>
      <c r="BF284" s="692"/>
      <c r="BG284" s="692"/>
      <c r="BH284" s="692"/>
      <c r="BI284" s="692"/>
      <c r="BJ284" s="692"/>
      <c r="BK284" s="692"/>
      <c r="BL284" s="692"/>
      <c r="BM284" s="692"/>
      <c r="BN284" s="692"/>
      <c r="BO284" s="692"/>
      <c r="BP284" s="692"/>
      <c r="BQ284" s="692"/>
      <c r="BR284" s="692"/>
      <c r="BS284" s="692"/>
      <c r="BT284" s="692"/>
      <c r="BU284" s="692"/>
      <c r="BV284" s="692"/>
      <c r="BW284" s="692"/>
      <c r="BX284" s="692"/>
      <c r="BY284" s="692"/>
      <c r="BZ284" s="692"/>
      <c r="CA284" s="692"/>
      <c r="CB284" s="692"/>
      <c r="CC284" s="692"/>
      <c r="CD284" s="692"/>
      <c r="CE284" s="692"/>
      <c r="CF284" s="692"/>
      <c r="CG284" s="692"/>
      <c r="CH284" s="692"/>
      <c r="CI284" s="692"/>
      <c r="CJ284" s="692"/>
      <c r="CK284" s="692"/>
      <c r="CL284" s="692"/>
      <c r="CM284" s="692"/>
      <c r="CN284" s="692"/>
      <c r="CO284" s="692"/>
      <c r="CP284" s="692"/>
      <c r="CQ284" s="692"/>
      <c r="CR284" s="692"/>
      <c r="CS284" s="692"/>
      <c r="CT284" s="692"/>
      <c r="CU284" s="692"/>
      <c r="CV284" s="692"/>
      <c r="CW284" s="692"/>
      <c r="CX284" s="692"/>
      <c r="CY284" s="692"/>
      <c r="CZ284" s="692"/>
      <c r="DA284" s="692"/>
      <c r="DB284" s="692"/>
      <c r="DC284" s="692"/>
      <c r="DD284" s="692"/>
      <c r="DE284" s="692"/>
      <c r="DF284" s="692"/>
      <c r="DG284" s="692"/>
      <c r="DH284" s="692"/>
      <c r="DI284" s="692"/>
      <c r="DJ284" s="692"/>
      <c r="DK284" s="692"/>
      <c r="DL284" s="692"/>
      <c r="DM284" s="692"/>
      <c r="DN284" s="692"/>
      <c r="DO284" s="692"/>
      <c r="DP284" s="692"/>
      <c r="DQ284" s="692"/>
      <c r="DR284" s="692"/>
      <c r="DS284" s="692"/>
      <c r="DT284" s="692"/>
      <c r="DU284" s="692"/>
      <c r="DV284" s="692"/>
      <c r="DW284" s="692"/>
      <c r="DX284" s="692"/>
      <c r="DY284" s="692"/>
      <c r="DZ284" s="692"/>
      <c r="EA284" s="692"/>
      <c r="EB284" s="692"/>
      <c r="EC284" s="692"/>
      <c r="ED284" s="692"/>
      <c r="EE284" s="692"/>
      <c r="EF284" s="692"/>
      <c r="EG284" s="692"/>
      <c r="EH284" s="692"/>
      <c r="EI284" s="692"/>
      <c r="EJ284" s="692"/>
      <c r="EK284" s="692"/>
      <c r="EL284" s="692"/>
      <c r="EM284" s="692"/>
      <c r="EN284" s="692"/>
      <c r="EO284" s="692"/>
      <c r="EP284" s="692"/>
      <c r="EQ284" s="692"/>
      <c r="ER284" s="692"/>
      <c r="ES284" s="692"/>
      <c r="ET284" s="692"/>
      <c r="EU284" s="692"/>
      <c r="EV284" s="692"/>
      <c r="EW284" s="692"/>
      <c r="EX284" s="692"/>
      <c r="EY284" s="692"/>
      <c r="EZ284" s="692"/>
      <c r="FA284" s="692"/>
      <c r="FB284" s="692"/>
      <c r="FC284" s="692"/>
      <c r="FD284" s="692"/>
      <c r="FE284" s="692"/>
      <c r="FF284" s="692"/>
      <c r="FG284" s="692"/>
      <c r="FH284" s="692"/>
      <c r="FI284" s="692"/>
      <c r="FJ284" s="692"/>
      <c r="FK284" s="692"/>
      <c r="FL284" s="692"/>
      <c r="FM284" s="692"/>
      <c r="FN284" s="692"/>
      <c r="FO284" s="692"/>
      <c r="FP284" s="692"/>
      <c r="FQ284" s="692"/>
      <c r="FR284" s="692"/>
      <c r="FS284" s="692"/>
      <c r="FT284" s="692"/>
      <c r="FU284" s="692"/>
      <c r="FV284" s="692"/>
      <c r="FW284" s="692"/>
      <c r="FX284" s="692"/>
      <c r="FY284" s="692"/>
      <c r="FZ284" s="692"/>
      <c r="GA284" s="692"/>
      <c r="GB284" s="692"/>
      <c r="GC284" s="692"/>
      <c r="GD284" s="692"/>
      <c r="GE284" s="692"/>
      <c r="GF284" s="692"/>
      <c r="GG284" s="692"/>
      <c r="GH284" s="692"/>
      <c r="GI284" s="692"/>
      <c r="GJ284" s="692"/>
      <c r="GK284" s="692"/>
      <c r="GL284" s="692"/>
      <c r="GM284" s="692"/>
      <c r="GN284" s="692"/>
      <c r="GO284" s="692"/>
      <c r="GP284" s="692"/>
      <c r="GQ284" s="692"/>
      <c r="GR284" s="692"/>
      <c r="GS284" s="692"/>
      <c r="GT284" s="692"/>
      <c r="GU284" s="692"/>
      <c r="GV284" s="692"/>
      <c r="GW284" s="692"/>
      <c r="GX284" s="692"/>
      <c r="GY284" s="692"/>
      <c r="GZ284" s="692"/>
      <c r="HA284" s="692"/>
      <c r="HB284" s="692"/>
      <c r="HC284" s="692"/>
      <c r="HD284" s="692"/>
      <c r="HE284" s="692"/>
      <c r="HF284" s="692"/>
      <c r="HG284" s="692"/>
      <c r="HH284" s="692"/>
      <c r="HI284" s="692"/>
      <c r="HJ284" s="692"/>
      <c r="HK284" s="692"/>
      <c r="HL284" s="692"/>
      <c r="HM284" s="692"/>
      <c r="HN284" s="692"/>
      <c r="HO284" s="692"/>
      <c r="HP284" s="692"/>
      <c r="HQ284" s="692"/>
      <c r="HR284" s="692"/>
      <c r="HS284" s="692"/>
      <c r="HT284" s="692"/>
      <c r="HU284" s="692"/>
      <c r="HV284" s="692"/>
      <c r="HW284" s="692"/>
      <c r="HX284" s="692"/>
      <c r="HY284" s="692"/>
      <c r="HZ284" s="692"/>
      <c r="IA284" s="692"/>
      <c r="IB284" s="692"/>
      <c r="IC284" s="692"/>
      <c r="ID284" s="692"/>
      <c r="IE284" s="692"/>
      <c r="IF284" s="692"/>
      <c r="IG284" s="692"/>
      <c r="IH284" s="692"/>
      <c r="II284" s="692"/>
      <c r="IJ284" s="692"/>
      <c r="IK284" s="692"/>
      <c r="IL284" s="692"/>
      <c r="IM284" s="692"/>
      <c r="IN284" s="692"/>
      <c r="IO284" s="692"/>
      <c r="IP284" s="692"/>
      <c r="IQ284" s="692"/>
      <c r="IR284" s="692"/>
      <c r="IS284" s="692"/>
      <c r="IT284" s="692"/>
      <c r="IU284" s="692"/>
      <c r="IV284" s="692"/>
      <c r="IW284" s="692"/>
      <c r="IX284" s="692"/>
      <c r="IY284" s="692"/>
      <c r="IZ284" s="692"/>
      <c r="JA284" s="692"/>
      <c r="JB284" s="692"/>
      <c r="JC284" s="692"/>
      <c r="JD284" s="692"/>
      <c r="JE284" s="692"/>
      <c r="JF284" s="692"/>
      <c r="JG284" s="692"/>
      <c r="JH284" s="692"/>
      <c r="JI284" s="692"/>
      <c r="JJ284" s="692"/>
      <c r="JK284" s="692"/>
      <c r="JL284" s="692"/>
      <c r="JM284" s="692"/>
      <c r="JN284" s="692"/>
      <c r="JO284" s="692"/>
      <c r="JP284" s="692"/>
      <c r="JQ284" s="692"/>
      <c r="JR284" s="692"/>
      <c r="JS284" s="692"/>
      <c r="JT284" s="692"/>
      <c r="JU284" s="692"/>
      <c r="JV284" s="692"/>
      <c r="JW284" s="692"/>
      <c r="JX284" s="692"/>
      <c r="JY284" s="692"/>
      <c r="JZ284" s="692"/>
      <c r="KA284" s="692"/>
      <c r="KB284" s="692"/>
      <c r="KC284" s="692"/>
      <c r="KD284" s="692"/>
      <c r="KE284" s="692"/>
      <c r="KF284" s="692"/>
      <c r="KG284" s="692"/>
      <c r="KH284" s="692"/>
      <c r="KI284" s="692"/>
      <c r="KJ284" s="692"/>
      <c r="KK284" s="692"/>
      <c r="KL284" s="692"/>
      <c r="KM284" s="692"/>
      <c r="KN284" s="692"/>
      <c r="KO284" s="692"/>
      <c r="KP284" s="692"/>
      <c r="KQ284" s="692"/>
      <c r="KR284" s="692"/>
      <c r="KS284" s="692"/>
      <c r="KT284" s="692"/>
      <c r="KU284" s="692"/>
      <c r="KV284" s="692"/>
      <c r="KW284" s="692"/>
      <c r="KX284" s="692"/>
      <c r="KY284" s="692"/>
      <c r="KZ284" s="692"/>
      <c r="LA284" s="692"/>
      <c r="LB284" s="692"/>
      <c r="LC284" s="692"/>
      <c r="LD284" s="692"/>
      <c r="LE284" s="692"/>
      <c r="LF284" s="692"/>
      <c r="LG284" s="692"/>
      <c r="LH284" s="692"/>
      <c r="LI284" s="692"/>
      <c r="LJ284" s="692"/>
      <c r="LK284" s="692"/>
      <c r="LL284" s="692"/>
      <c r="LM284" s="692"/>
      <c r="LN284" s="692"/>
      <c r="LO284" s="692"/>
      <c r="LP284" s="692"/>
      <c r="LQ284" s="692"/>
      <c r="LR284" s="692"/>
      <c r="LS284" s="692"/>
      <c r="LT284" s="692"/>
      <c r="LU284" s="692"/>
      <c r="LV284" s="692"/>
      <c r="LW284" s="692"/>
      <c r="LX284" s="692"/>
      <c r="LY284" s="692"/>
      <c r="LZ284" s="692"/>
      <c r="MA284" s="692"/>
      <c r="MB284" s="692"/>
      <c r="MC284" s="692"/>
      <c r="MD284" s="692"/>
      <c r="ME284" s="692"/>
      <c r="MF284" s="692"/>
      <c r="MG284" s="692"/>
      <c r="MH284" s="692"/>
      <c r="MI284" s="692"/>
      <c r="MJ284" s="692"/>
      <c r="MK284" s="692"/>
      <c r="ML284" s="692"/>
      <c r="MM284" s="692"/>
      <c r="MN284" s="692"/>
      <c r="MO284" s="692"/>
      <c r="MP284" s="692"/>
      <c r="MQ284" s="692"/>
      <c r="MR284" s="692"/>
      <c r="MS284" s="692"/>
      <c r="MT284" s="692"/>
      <c r="MU284" s="692"/>
      <c r="MV284" s="692"/>
      <c r="MW284" s="692"/>
      <c r="MX284" s="692"/>
      <c r="MY284" s="692"/>
      <c r="MZ284" s="692"/>
      <c r="NA284" s="692"/>
      <c r="NB284" s="692"/>
      <c r="NC284" s="692"/>
      <c r="ND284" s="692"/>
      <c r="NE284" s="692"/>
      <c r="NF284" s="692"/>
      <c r="NG284" s="692"/>
      <c r="NH284" s="692"/>
      <c r="NI284" s="692"/>
      <c r="NJ284" s="692"/>
      <c r="NK284" s="692"/>
      <c r="NL284" s="692"/>
      <c r="NM284" s="692"/>
      <c r="NN284" s="692"/>
      <c r="NO284" s="692"/>
      <c r="NP284" s="692"/>
      <c r="NQ284" s="692"/>
      <c r="NR284" s="692"/>
    </row>
    <row r="285" spans="1:382" x14ac:dyDescent="0.25">
      <c r="A285" s="681"/>
      <c r="B285" s="680" t="s">
        <v>1327</v>
      </c>
      <c r="C285" s="161">
        <f>'Input Data'!E17*1000</f>
        <v>0</v>
      </c>
      <c r="D285" s="680" t="s">
        <v>390</v>
      </c>
      <c r="E285" s="25"/>
      <c r="F285" s="203"/>
      <c r="G285" s="692"/>
      <c r="H285" s="692"/>
      <c r="I285" s="692"/>
      <c r="J285" s="692"/>
      <c r="K285" s="692"/>
      <c r="L285" s="692"/>
      <c r="M285" s="692"/>
      <c r="N285" s="692"/>
      <c r="O285" s="692"/>
      <c r="P285" s="692"/>
      <c r="Q285" s="692"/>
      <c r="R285" s="692"/>
      <c r="S285" s="692"/>
      <c r="T285" s="692"/>
      <c r="U285" s="692"/>
      <c r="V285" s="692"/>
      <c r="W285" s="692"/>
      <c r="X285" s="692"/>
      <c r="Y285" s="692"/>
      <c r="Z285" s="692"/>
      <c r="AA285" s="692"/>
      <c r="AB285" s="692"/>
      <c r="AC285" s="692"/>
      <c r="AD285" s="692"/>
      <c r="AE285" s="692"/>
      <c r="AF285" s="692"/>
      <c r="AG285" s="692"/>
      <c r="AH285" s="692"/>
      <c r="AI285" s="692"/>
      <c r="AJ285" s="692"/>
      <c r="AK285" s="692"/>
      <c r="AL285" s="692"/>
      <c r="AM285" s="692"/>
      <c r="AN285" s="692"/>
      <c r="AO285" s="692"/>
      <c r="AP285" s="692"/>
      <c r="AQ285" s="692"/>
      <c r="AR285" s="692"/>
      <c r="AS285" s="692"/>
      <c r="AT285" s="692"/>
      <c r="AU285" s="692"/>
      <c r="AV285" s="692"/>
      <c r="AW285" s="692"/>
      <c r="AX285" s="692"/>
      <c r="AY285" s="692"/>
      <c r="AZ285" s="692"/>
      <c r="BA285" s="692"/>
      <c r="BB285" s="692"/>
      <c r="BC285" s="692"/>
      <c r="BD285" s="692"/>
      <c r="BE285" s="692"/>
      <c r="BF285" s="692"/>
      <c r="BG285" s="692"/>
      <c r="BH285" s="692"/>
      <c r="BI285" s="692"/>
      <c r="BJ285" s="692"/>
      <c r="BK285" s="692"/>
      <c r="BL285" s="692"/>
      <c r="BM285" s="692"/>
      <c r="BN285" s="692"/>
      <c r="BO285" s="692"/>
      <c r="BP285" s="692"/>
      <c r="BQ285" s="692"/>
      <c r="BR285" s="692"/>
      <c r="BS285" s="692"/>
      <c r="BT285" s="692"/>
      <c r="BU285" s="692"/>
      <c r="BV285" s="692"/>
      <c r="BW285" s="692"/>
      <c r="BX285" s="692"/>
      <c r="BY285" s="692"/>
      <c r="BZ285" s="692"/>
      <c r="CA285" s="692"/>
      <c r="CB285" s="692"/>
      <c r="CC285" s="692"/>
      <c r="CD285" s="692"/>
      <c r="CE285" s="692"/>
      <c r="CF285" s="692"/>
      <c r="CG285" s="692"/>
      <c r="CH285" s="692"/>
      <c r="CI285" s="692"/>
      <c r="CJ285" s="692"/>
      <c r="CK285" s="692"/>
      <c r="CL285" s="692"/>
      <c r="CM285" s="692"/>
      <c r="CN285" s="692"/>
      <c r="CO285" s="692"/>
      <c r="CP285" s="692"/>
      <c r="CQ285" s="692"/>
      <c r="CR285" s="692"/>
      <c r="CS285" s="692"/>
      <c r="CT285" s="692"/>
      <c r="CU285" s="692"/>
      <c r="CV285" s="692"/>
      <c r="CW285" s="692"/>
      <c r="CX285" s="692"/>
      <c r="CY285" s="692"/>
      <c r="CZ285" s="692"/>
      <c r="DA285" s="692"/>
      <c r="DB285" s="692"/>
      <c r="DC285" s="692"/>
      <c r="DD285" s="692"/>
      <c r="DE285" s="692"/>
      <c r="DF285" s="692"/>
      <c r="DG285" s="692"/>
      <c r="DH285" s="692"/>
      <c r="DI285" s="692"/>
      <c r="DJ285" s="692"/>
      <c r="DK285" s="692"/>
      <c r="DL285" s="692"/>
      <c r="DM285" s="692"/>
      <c r="DN285" s="692"/>
      <c r="DO285" s="692"/>
      <c r="DP285" s="692"/>
      <c r="DQ285" s="692"/>
      <c r="DR285" s="692"/>
      <c r="DS285" s="692"/>
      <c r="DT285" s="692"/>
      <c r="DU285" s="692"/>
      <c r="DV285" s="692"/>
      <c r="DW285" s="692"/>
      <c r="DX285" s="692"/>
      <c r="DY285" s="692"/>
      <c r="DZ285" s="692"/>
      <c r="EA285" s="692"/>
      <c r="EB285" s="692"/>
      <c r="EC285" s="692"/>
      <c r="ED285" s="692"/>
      <c r="EE285" s="692"/>
      <c r="EF285" s="692"/>
      <c r="EG285" s="692"/>
      <c r="EH285" s="692"/>
      <c r="EI285" s="692"/>
      <c r="EJ285" s="692"/>
      <c r="EK285" s="692"/>
      <c r="EL285" s="692"/>
      <c r="EM285" s="692"/>
      <c r="EN285" s="692"/>
      <c r="EO285" s="692"/>
      <c r="EP285" s="692"/>
      <c r="EQ285" s="692"/>
      <c r="ER285" s="692"/>
      <c r="ES285" s="692"/>
      <c r="ET285" s="692"/>
      <c r="EU285" s="692"/>
      <c r="EV285" s="692"/>
      <c r="EW285" s="692"/>
      <c r="EX285" s="692"/>
      <c r="EY285" s="692"/>
      <c r="EZ285" s="692"/>
      <c r="FA285" s="692"/>
      <c r="FB285" s="692"/>
      <c r="FC285" s="692"/>
      <c r="FD285" s="692"/>
      <c r="FE285" s="692"/>
      <c r="FF285" s="692"/>
      <c r="FG285" s="692"/>
      <c r="FH285" s="692"/>
      <c r="FI285" s="692"/>
      <c r="FJ285" s="692"/>
      <c r="FK285" s="692"/>
      <c r="FL285" s="692"/>
      <c r="FM285" s="692"/>
      <c r="FN285" s="692"/>
      <c r="FO285" s="692"/>
      <c r="FP285" s="692"/>
      <c r="FQ285" s="692"/>
      <c r="FR285" s="692"/>
      <c r="FS285" s="692"/>
      <c r="FT285" s="692"/>
      <c r="FU285" s="692"/>
      <c r="FV285" s="692"/>
      <c r="FW285" s="692"/>
      <c r="FX285" s="692"/>
      <c r="FY285" s="692"/>
      <c r="FZ285" s="692"/>
      <c r="GA285" s="692"/>
      <c r="GB285" s="692"/>
      <c r="GC285" s="692"/>
      <c r="GD285" s="692"/>
      <c r="GE285" s="692"/>
      <c r="GF285" s="692"/>
      <c r="GG285" s="692"/>
      <c r="GH285" s="692"/>
      <c r="GI285" s="692"/>
      <c r="GJ285" s="692"/>
      <c r="GK285" s="692"/>
      <c r="GL285" s="692"/>
      <c r="GM285" s="692"/>
      <c r="GN285" s="692"/>
      <c r="GO285" s="692"/>
      <c r="GP285" s="692"/>
      <c r="GQ285" s="692"/>
      <c r="GR285" s="692"/>
      <c r="GS285" s="692"/>
      <c r="GT285" s="692"/>
      <c r="GU285" s="692"/>
      <c r="GV285" s="692"/>
      <c r="GW285" s="692"/>
      <c r="GX285" s="692"/>
      <c r="GY285" s="692"/>
      <c r="GZ285" s="692"/>
      <c r="HA285" s="692"/>
      <c r="HB285" s="692"/>
      <c r="HC285" s="692"/>
      <c r="HD285" s="692"/>
      <c r="HE285" s="692"/>
      <c r="HF285" s="692"/>
      <c r="HG285" s="692"/>
      <c r="HH285" s="692"/>
      <c r="HI285" s="692"/>
      <c r="HJ285" s="692"/>
      <c r="HK285" s="692"/>
      <c r="HL285" s="692"/>
      <c r="HM285" s="692"/>
      <c r="HN285" s="692"/>
      <c r="HO285" s="692"/>
      <c r="HP285" s="692"/>
      <c r="HQ285" s="692"/>
      <c r="HR285" s="692"/>
      <c r="HS285" s="692"/>
      <c r="HT285" s="692"/>
      <c r="HU285" s="692"/>
      <c r="HV285" s="692"/>
      <c r="HW285" s="692"/>
      <c r="HX285" s="692"/>
      <c r="HY285" s="692"/>
      <c r="HZ285" s="692"/>
      <c r="IA285" s="692"/>
      <c r="IB285" s="692"/>
      <c r="IC285" s="692"/>
      <c r="ID285" s="692"/>
      <c r="IE285" s="692"/>
      <c r="IF285" s="692"/>
      <c r="IG285" s="692"/>
      <c r="IH285" s="692"/>
      <c r="II285" s="692"/>
      <c r="IJ285" s="692"/>
      <c r="IK285" s="692"/>
      <c r="IL285" s="692"/>
      <c r="IM285" s="692"/>
      <c r="IN285" s="692"/>
      <c r="IO285" s="692"/>
      <c r="IP285" s="692"/>
      <c r="IQ285" s="692"/>
      <c r="IR285" s="692"/>
      <c r="IS285" s="692"/>
      <c r="IT285" s="692"/>
      <c r="IU285" s="692"/>
      <c r="IV285" s="692"/>
      <c r="IW285" s="692"/>
      <c r="IX285" s="692"/>
      <c r="IY285" s="692"/>
      <c r="IZ285" s="692"/>
      <c r="JA285" s="692"/>
      <c r="JB285" s="692"/>
      <c r="JC285" s="692"/>
      <c r="JD285" s="692"/>
      <c r="JE285" s="692"/>
      <c r="JF285" s="692"/>
      <c r="JG285" s="692"/>
      <c r="JH285" s="692"/>
      <c r="JI285" s="692"/>
      <c r="JJ285" s="692"/>
      <c r="JK285" s="692"/>
      <c r="JL285" s="692"/>
      <c r="JM285" s="692"/>
      <c r="JN285" s="692"/>
      <c r="JO285" s="692"/>
      <c r="JP285" s="692"/>
      <c r="JQ285" s="692"/>
      <c r="JR285" s="692"/>
      <c r="JS285" s="692"/>
      <c r="JT285" s="692"/>
      <c r="JU285" s="692"/>
      <c r="JV285" s="692"/>
      <c r="JW285" s="692"/>
      <c r="JX285" s="692"/>
      <c r="JY285" s="692"/>
      <c r="JZ285" s="692"/>
      <c r="KA285" s="692"/>
      <c r="KB285" s="692"/>
      <c r="KC285" s="692"/>
      <c r="KD285" s="692"/>
      <c r="KE285" s="692"/>
      <c r="KF285" s="692"/>
      <c r="KG285" s="692"/>
      <c r="KH285" s="692"/>
      <c r="KI285" s="692"/>
      <c r="KJ285" s="692"/>
      <c r="KK285" s="692"/>
      <c r="KL285" s="692"/>
      <c r="KM285" s="692"/>
      <c r="KN285" s="692"/>
      <c r="KO285" s="692"/>
      <c r="KP285" s="692"/>
      <c r="KQ285" s="692"/>
      <c r="KR285" s="692"/>
      <c r="KS285" s="692"/>
      <c r="KT285" s="692"/>
      <c r="KU285" s="692"/>
      <c r="KV285" s="692"/>
      <c r="KW285" s="692"/>
      <c r="KX285" s="692"/>
      <c r="KY285" s="692"/>
      <c r="KZ285" s="692"/>
      <c r="LA285" s="692"/>
      <c r="LB285" s="692"/>
      <c r="LC285" s="692"/>
      <c r="LD285" s="692"/>
      <c r="LE285" s="692"/>
      <c r="LF285" s="692"/>
      <c r="LG285" s="692"/>
      <c r="LH285" s="692"/>
      <c r="LI285" s="692"/>
      <c r="LJ285" s="692"/>
      <c r="LK285" s="692"/>
      <c r="LL285" s="692"/>
      <c r="LM285" s="692"/>
      <c r="LN285" s="692"/>
      <c r="LO285" s="692"/>
      <c r="LP285" s="692"/>
      <c r="LQ285" s="692"/>
      <c r="LR285" s="692"/>
      <c r="LS285" s="692"/>
      <c r="LT285" s="692"/>
      <c r="LU285" s="692"/>
      <c r="LV285" s="692"/>
      <c r="LW285" s="692"/>
      <c r="LX285" s="692"/>
      <c r="LY285" s="692"/>
      <c r="LZ285" s="692"/>
      <c r="MA285" s="692"/>
      <c r="MB285" s="692"/>
      <c r="MC285" s="692"/>
      <c r="MD285" s="692"/>
      <c r="ME285" s="692"/>
      <c r="MF285" s="692"/>
      <c r="MG285" s="692"/>
      <c r="MH285" s="692"/>
      <c r="MI285" s="692"/>
      <c r="MJ285" s="692"/>
      <c r="MK285" s="692"/>
      <c r="ML285" s="692"/>
      <c r="MM285" s="692"/>
      <c r="MN285" s="692"/>
      <c r="MO285" s="692"/>
      <c r="MP285" s="692"/>
      <c r="MQ285" s="692"/>
      <c r="MR285" s="692"/>
      <c r="MS285" s="692"/>
      <c r="MT285" s="692"/>
      <c r="MU285" s="692"/>
      <c r="MV285" s="692"/>
      <c r="MW285" s="692"/>
      <c r="MX285" s="692"/>
      <c r="MY285" s="692"/>
      <c r="MZ285" s="692"/>
      <c r="NA285" s="692"/>
      <c r="NB285" s="692"/>
      <c r="NC285" s="692"/>
      <c r="ND285" s="692"/>
      <c r="NE285" s="692"/>
      <c r="NF285" s="692"/>
      <c r="NG285" s="692"/>
      <c r="NH285" s="692"/>
      <c r="NI285" s="692"/>
      <c r="NJ285" s="692"/>
      <c r="NK285" s="692"/>
      <c r="NL285" s="692"/>
      <c r="NM285" s="692"/>
      <c r="NN285" s="692"/>
      <c r="NO285" s="692"/>
      <c r="NP285" s="692"/>
      <c r="NQ285" s="692"/>
      <c r="NR285" s="692"/>
    </row>
    <row r="286" spans="1:382" x14ac:dyDescent="0.25">
      <c r="A286" s="681"/>
      <c r="B286" s="680" t="s">
        <v>1729</v>
      </c>
      <c r="C286" s="509">
        <f>IF(C285=0,0,C284/C285)</f>
        <v>0</v>
      </c>
      <c r="D286" s="680" t="s">
        <v>1727</v>
      </c>
      <c r="E286" s="25"/>
      <c r="F286" s="203"/>
      <c r="G286" s="692"/>
      <c r="H286" s="692"/>
      <c r="I286" s="692"/>
      <c r="J286" s="692"/>
      <c r="K286" s="692"/>
      <c r="L286" s="692"/>
      <c r="M286" s="692"/>
      <c r="N286" s="692"/>
      <c r="O286" s="692"/>
      <c r="P286" s="692"/>
      <c r="Q286" s="692"/>
      <c r="R286" s="692"/>
      <c r="S286" s="692"/>
      <c r="T286" s="692"/>
      <c r="U286" s="692"/>
      <c r="V286" s="692"/>
      <c r="W286" s="692"/>
      <c r="X286" s="692"/>
      <c r="Y286" s="692"/>
      <c r="Z286" s="692"/>
      <c r="AA286" s="692"/>
      <c r="AB286" s="692"/>
      <c r="AC286" s="692"/>
      <c r="AD286" s="692"/>
      <c r="AE286" s="692"/>
      <c r="AF286" s="692"/>
      <c r="AG286" s="692"/>
      <c r="AH286" s="692"/>
      <c r="AI286" s="692"/>
      <c r="AJ286" s="692"/>
      <c r="AK286" s="692"/>
      <c r="AL286" s="692"/>
      <c r="AM286" s="692"/>
      <c r="AN286" s="692"/>
      <c r="AO286" s="692"/>
      <c r="AP286" s="692"/>
      <c r="AQ286" s="692"/>
      <c r="AR286" s="692"/>
      <c r="AS286" s="692"/>
      <c r="AT286" s="692"/>
      <c r="AU286" s="692"/>
      <c r="AV286" s="692"/>
      <c r="AW286" s="692"/>
      <c r="AX286" s="692"/>
      <c r="AY286" s="692"/>
      <c r="AZ286" s="692"/>
      <c r="BA286" s="692"/>
      <c r="BB286" s="692"/>
      <c r="BC286" s="692"/>
      <c r="BD286" s="692"/>
      <c r="BE286" s="692"/>
      <c r="BF286" s="692"/>
      <c r="BG286" s="692"/>
      <c r="BH286" s="692"/>
      <c r="BI286" s="692"/>
      <c r="BJ286" s="692"/>
      <c r="BK286" s="692"/>
      <c r="BL286" s="692"/>
      <c r="BM286" s="692"/>
      <c r="BN286" s="692"/>
      <c r="BO286" s="692"/>
      <c r="BP286" s="692"/>
      <c r="BQ286" s="692"/>
      <c r="BR286" s="692"/>
      <c r="BS286" s="692"/>
      <c r="BT286" s="692"/>
      <c r="BU286" s="692"/>
      <c r="BV286" s="692"/>
      <c r="BW286" s="692"/>
      <c r="BX286" s="692"/>
      <c r="BY286" s="692"/>
      <c r="BZ286" s="692"/>
      <c r="CA286" s="692"/>
      <c r="CB286" s="692"/>
      <c r="CC286" s="692"/>
      <c r="CD286" s="692"/>
      <c r="CE286" s="692"/>
      <c r="CF286" s="692"/>
      <c r="CG286" s="692"/>
      <c r="CH286" s="692"/>
      <c r="CI286" s="692"/>
      <c r="CJ286" s="692"/>
      <c r="CK286" s="692"/>
      <c r="CL286" s="692"/>
      <c r="CM286" s="692"/>
      <c r="CN286" s="692"/>
      <c r="CO286" s="692"/>
      <c r="CP286" s="692"/>
      <c r="CQ286" s="692"/>
      <c r="CR286" s="692"/>
      <c r="CS286" s="692"/>
      <c r="CT286" s="692"/>
      <c r="CU286" s="692"/>
      <c r="CV286" s="692"/>
      <c r="CW286" s="692"/>
      <c r="CX286" s="692"/>
      <c r="CY286" s="692"/>
      <c r="CZ286" s="692"/>
      <c r="DA286" s="692"/>
      <c r="DB286" s="692"/>
      <c r="DC286" s="692"/>
      <c r="DD286" s="692"/>
      <c r="DE286" s="692"/>
      <c r="DF286" s="692"/>
      <c r="DG286" s="692"/>
      <c r="DH286" s="692"/>
      <c r="DI286" s="692"/>
      <c r="DJ286" s="692"/>
      <c r="DK286" s="692"/>
      <c r="DL286" s="692"/>
      <c r="DM286" s="692"/>
      <c r="DN286" s="692"/>
      <c r="DO286" s="692"/>
      <c r="DP286" s="692"/>
      <c r="DQ286" s="692"/>
      <c r="DR286" s="692"/>
      <c r="DS286" s="692"/>
      <c r="DT286" s="692"/>
      <c r="DU286" s="692"/>
      <c r="DV286" s="692"/>
      <c r="DW286" s="692"/>
      <c r="DX286" s="692"/>
      <c r="DY286" s="692"/>
      <c r="DZ286" s="692"/>
      <c r="EA286" s="692"/>
      <c r="EB286" s="692"/>
      <c r="EC286" s="692"/>
      <c r="ED286" s="692"/>
      <c r="EE286" s="692"/>
      <c r="EF286" s="692"/>
      <c r="EG286" s="692"/>
      <c r="EH286" s="692"/>
      <c r="EI286" s="692"/>
      <c r="EJ286" s="692"/>
      <c r="EK286" s="692"/>
      <c r="EL286" s="692"/>
      <c r="EM286" s="692"/>
      <c r="EN286" s="692"/>
      <c r="EO286" s="692"/>
      <c r="EP286" s="692"/>
      <c r="EQ286" s="692"/>
      <c r="ER286" s="692"/>
      <c r="ES286" s="692"/>
      <c r="ET286" s="692"/>
      <c r="EU286" s="692"/>
      <c r="EV286" s="692"/>
      <c r="EW286" s="692"/>
      <c r="EX286" s="692"/>
      <c r="EY286" s="692"/>
      <c r="EZ286" s="692"/>
      <c r="FA286" s="692"/>
      <c r="FB286" s="692"/>
      <c r="FC286" s="692"/>
      <c r="FD286" s="692"/>
      <c r="FE286" s="692"/>
      <c r="FF286" s="692"/>
      <c r="FG286" s="692"/>
      <c r="FH286" s="692"/>
      <c r="FI286" s="692"/>
      <c r="FJ286" s="692"/>
      <c r="FK286" s="692"/>
      <c r="FL286" s="692"/>
      <c r="FM286" s="692"/>
      <c r="FN286" s="692"/>
      <c r="FO286" s="692"/>
      <c r="FP286" s="692"/>
      <c r="FQ286" s="692"/>
      <c r="FR286" s="692"/>
      <c r="FS286" s="692"/>
      <c r="FT286" s="692"/>
      <c r="FU286" s="692"/>
      <c r="FV286" s="692"/>
      <c r="FW286" s="692"/>
      <c r="FX286" s="692"/>
      <c r="FY286" s="692"/>
      <c r="FZ286" s="692"/>
      <c r="GA286" s="692"/>
      <c r="GB286" s="692"/>
      <c r="GC286" s="692"/>
      <c r="GD286" s="692"/>
      <c r="GE286" s="692"/>
      <c r="GF286" s="692"/>
      <c r="GG286" s="692"/>
      <c r="GH286" s="692"/>
      <c r="GI286" s="692"/>
      <c r="GJ286" s="692"/>
      <c r="GK286" s="692"/>
      <c r="GL286" s="692"/>
      <c r="GM286" s="692"/>
      <c r="GN286" s="692"/>
      <c r="GO286" s="692"/>
      <c r="GP286" s="692"/>
      <c r="GQ286" s="692"/>
      <c r="GR286" s="692"/>
      <c r="GS286" s="692"/>
      <c r="GT286" s="692"/>
      <c r="GU286" s="692"/>
      <c r="GV286" s="692"/>
      <c r="GW286" s="692"/>
      <c r="GX286" s="692"/>
      <c r="GY286" s="692"/>
      <c r="GZ286" s="692"/>
      <c r="HA286" s="692"/>
      <c r="HB286" s="692"/>
      <c r="HC286" s="692"/>
      <c r="HD286" s="692"/>
      <c r="HE286" s="692"/>
      <c r="HF286" s="692"/>
      <c r="HG286" s="692"/>
      <c r="HH286" s="692"/>
      <c r="HI286" s="692"/>
      <c r="HJ286" s="692"/>
      <c r="HK286" s="692"/>
      <c r="HL286" s="692"/>
      <c r="HM286" s="692"/>
      <c r="HN286" s="692"/>
      <c r="HO286" s="692"/>
      <c r="HP286" s="692"/>
      <c r="HQ286" s="692"/>
      <c r="HR286" s="692"/>
      <c r="HS286" s="692"/>
      <c r="HT286" s="692"/>
      <c r="HU286" s="692"/>
      <c r="HV286" s="692"/>
      <c r="HW286" s="692"/>
      <c r="HX286" s="692"/>
      <c r="HY286" s="692"/>
      <c r="HZ286" s="692"/>
      <c r="IA286" s="692"/>
      <c r="IB286" s="692"/>
      <c r="IC286" s="692"/>
      <c r="ID286" s="692"/>
      <c r="IE286" s="692"/>
      <c r="IF286" s="692"/>
      <c r="IG286" s="692"/>
      <c r="IH286" s="692"/>
      <c r="II286" s="692"/>
      <c r="IJ286" s="692"/>
      <c r="IK286" s="692"/>
      <c r="IL286" s="692"/>
      <c r="IM286" s="692"/>
      <c r="IN286" s="692"/>
      <c r="IO286" s="692"/>
      <c r="IP286" s="692"/>
      <c r="IQ286" s="692"/>
      <c r="IR286" s="692"/>
      <c r="IS286" s="692"/>
      <c r="IT286" s="692"/>
      <c r="IU286" s="692"/>
      <c r="IV286" s="692"/>
      <c r="IW286" s="692"/>
      <c r="IX286" s="692"/>
      <c r="IY286" s="692"/>
      <c r="IZ286" s="692"/>
      <c r="JA286" s="692"/>
      <c r="JB286" s="692"/>
      <c r="JC286" s="692"/>
      <c r="JD286" s="692"/>
      <c r="JE286" s="692"/>
      <c r="JF286" s="692"/>
      <c r="JG286" s="692"/>
      <c r="JH286" s="692"/>
      <c r="JI286" s="692"/>
      <c r="JJ286" s="692"/>
      <c r="JK286" s="692"/>
      <c r="JL286" s="692"/>
      <c r="JM286" s="692"/>
      <c r="JN286" s="692"/>
      <c r="JO286" s="692"/>
      <c r="JP286" s="692"/>
      <c r="JQ286" s="692"/>
      <c r="JR286" s="692"/>
      <c r="JS286" s="692"/>
      <c r="JT286" s="692"/>
      <c r="JU286" s="692"/>
      <c r="JV286" s="692"/>
      <c r="JW286" s="692"/>
      <c r="JX286" s="692"/>
      <c r="JY286" s="692"/>
      <c r="JZ286" s="692"/>
      <c r="KA286" s="692"/>
      <c r="KB286" s="692"/>
      <c r="KC286" s="692"/>
      <c r="KD286" s="692"/>
      <c r="KE286" s="692"/>
      <c r="KF286" s="692"/>
      <c r="KG286" s="692"/>
      <c r="KH286" s="692"/>
      <c r="KI286" s="692"/>
      <c r="KJ286" s="692"/>
      <c r="KK286" s="692"/>
      <c r="KL286" s="692"/>
      <c r="KM286" s="692"/>
      <c r="KN286" s="692"/>
      <c r="KO286" s="692"/>
      <c r="KP286" s="692"/>
      <c r="KQ286" s="692"/>
      <c r="KR286" s="692"/>
      <c r="KS286" s="692"/>
      <c r="KT286" s="692"/>
      <c r="KU286" s="692"/>
      <c r="KV286" s="692"/>
      <c r="KW286" s="692"/>
      <c r="KX286" s="692"/>
      <c r="KY286" s="692"/>
      <c r="KZ286" s="692"/>
      <c r="LA286" s="692"/>
      <c r="LB286" s="692"/>
      <c r="LC286" s="692"/>
      <c r="LD286" s="692"/>
      <c r="LE286" s="692"/>
      <c r="LF286" s="692"/>
      <c r="LG286" s="692"/>
      <c r="LH286" s="692"/>
      <c r="LI286" s="692"/>
      <c r="LJ286" s="692"/>
      <c r="LK286" s="692"/>
      <c r="LL286" s="692"/>
      <c r="LM286" s="692"/>
      <c r="LN286" s="692"/>
      <c r="LO286" s="692"/>
      <c r="LP286" s="692"/>
      <c r="LQ286" s="692"/>
      <c r="LR286" s="692"/>
      <c r="LS286" s="692"/>
      <c r="LT286" s="692"/>
      <c r="LU286" s="692"/>
      <c r="LV286" s="692"/>
      <c r="LW286" s="692"/>
      <c r="LX286" s="692"/>
      <c r="LY286" s="692"/>
      <c r="LZ286" s="692"/>
      <c r="MA286" s="692"/>
      <c r="MB286" s="692"/>
      <c r="MC286" s="692"/>
      <c r="MD286" s="692"/>
      <c r="ME286" s="692"/>
      <c r="MF286" s="692"/>
      <c r="MG286" s="692"/>
      <c r="MH286" s="692"/>
      <c r="MI286" s="692"/>
      <c r="MJ286" s="692"/>
      <c r="MK286" s="692"/>
      <c r="ML286" s="692"/>
      <c r="MM286" s="692"/>
      <c r="MN286" s="692"/>
      <c r="MO286" s="692"/>
      <c r="MP286" s="692"/>
      <c r="MQ286" s="692"/>
      <c r="MR286" s="692"/>
      <c r="MS286" s="692"/>
      <c r="MT286" s="692"/>
      <c r="MU286" s="692"/>
      <c r="MV286" s="692"/>
      <c r="MW286" s="692"/>
      <c r="MX286" s="692"/>
      <c r="MY286" s="692"/>
      <c r="MZ286" s="692"/>
      <c r="NA286" s="692"/>
      <c r="NB286" s="692"/>
      <c r="NC286" s="692"/>
      <c r="ND286" s="692"/>
      <c r="NE286" s="692"/>
      <c r="NF286" s="692"/>
      <c r="NG286" s="692"/>
      <c r="NH286" s="692"/>
      <c r="NI286" s="692"/>
      <c r="NJ286" s="692"/>
      <c r="NK286" s="692"/>
      <c r="NL286" s="692"/>
      <c r="NM286" s="692"/>
      <c r="NN286" s="692"/>
      <c r="NO286" s="692"/>
      <c r="NP286" s="692"/>
      <c r="NQ286" s="692"/>
      <c r="NR286" s="692"/>
    </row>
    <row r="287" spans="1:382" ht="15.75" thickBot="1" x14ac:dyDescent="0.3">
      <c r="A287" s="681"/>
      <c r="B287" s="680" t="s">
        <v>1730</v>
      </c>
      <c r="C287" s="509">
        <f>'Conversion factors'!B15</f>
        <v>2.4</v>
      </c>
      <c r="D287" s="680" t="s">
        <v>1711</v>
      </c>
      <c r="E287" s="25"/>
      <c r="F287" s="203"/>
      <c r="G287" s="692"/>
      <c r="H287" s="692"/>
      <c r="I287" s="692"/>
      <c r="J287" s="692"/>
      <c r="K287" s="692"/>
      <c r="L287" s="692"/>
      <c r="M287" s="692"/>
      <c r="N287" s="692"/>
      <c r="O287" s="692"/>
      <c r="P287" s="692"/>
      <c r="Q287" s="692"/>
      <c r="R287" s="692"/>
      <c r="S287" s="692"/>
      <c r="T287" s="692"/>
      <c r="U287" s="692"/>
      <c r="V287" s="692"/>
      <c r="W287" s="692"/>
      <c r="X287" s="692"/>
      <c r="Y287" s="692"/>
      <c r="Z287" s="692"/>
      <c r="AA287" s="692"/>
      <c r="AB287" s="692"/>
      <c r="AC287" s="692"/>
      <c r="AD287" s="692"/>
      <c r="AE287" s="692"/>
      <c r="AF287" s="692"/>
      <c r="AG287" s="692"/>
      <c r="AH287" s="692"/>
      <c r="AI287" s="692"/>
      <c r="AJ287" s="692"/>
      <c r="AK287" s="692"/>
      <c r="AL287" s="692"/>
      <c r="AM287" s="692"/>
      <c r="AN287" s="692"/>
      <c r="AO287" s="692"/>
      <c r="AP287" s="692"/>
      <c r="AQ287" s="692"/>
      <c r="AR287" s="692"/>
      <c r="AS287" s="692"/>
      <c r="AT287" s="692"/>
      <c r="AU287" s="692"/>
      <c r="AV287" s="692"/>
      <c r="AW287" s="692"/>
      <c r="AX287" s="692"/>
      <c r="AY287" s="692"/>
      <c r="AZ287" s="692"/>
      <c r="BA287" s="692"/>
      <c r="BB287" s="692"/>
      <c r="BC287" s="692"/>
      <c r="BD287" s="692"/>
      <c r="BE287" s="692"/>
      <c r="BF287" s="692"/>
      <c r="BG287" s="692"/>
      <c r="BH287" s="692"/>
      <c r="BI287" s="692"/>
      <c r="BJ287" s="692"/>
      <c r="BK287" s="692"/>
      <c r="BL287" s="692"/>
      <c r="BM287" s="692"/>
      <c r="BN287" s="692"/>
      <c r="BO287" s="692"/>
      <c r="BP287" s="692"/>
      <c r="BQ287" s="692"/>
      <c r="BR287" s="692"/>
      <c r="BS287" s="692"/>
      <c r="BT287" s="692"/>
      <c r="BU287" s="692"/>
      <c r="BV287" s="692"/>
      <c r="BW287" s="692"/>
      <c r="BX287" s="692"/>
      <c r="BY287" s="692"/>
      <c r="BZ287" s="692"/>
      <c r="CA287" s="692"/>
      <c r="CB287" s="692"/>
      <c r="CC287" s="692"/>
      <c r="CD287" s="692"/>
      <c r="CE287" s="692"/>
      <c r="CF287" s="692"/>
      <c r="CG287" s="692"/>
      <c r="CH287" s="692"/>
      <c r="CI287" s="692"/>
      <c r="CJ287" s="692"/>
      <c r="CK287" s="692"/>
      <c r="CL287" s="692"/>
      <c r="CM287" s="692"/>
      <c r="CN287" s="692"/>
      <c r="CO287" s="692"/>
      <c r="CP287" s="692"/>
      <c r="CQ287" s="692"/>
      <c r="CR287" s="692"/>
      <c r="CS287" s="692"/>
      <c r="CT287" s="692"/>
      <c r="CU287" s="692"/>
      <c r="CV287" s="692"/>
      <c r="CW287" s="692"/>
      <c r="CX287" s="692"/>
      <c r="CY287" s="692"/>
      <c r="CZ287" s="692"/>
      <c r="DA287" s="692"/>
      <c r="DB287" s="692"/>
      <c r="DC287" s="692"/>
      <c r="DD287" s="692"/>
      <c r="DE287" s="692"/>
      <c r="DF287" s="692"/>
      <c r="DG287" s="692"/>
      <c r="DH287" s="692"/>
      <c r="DI287" s="692"/>
      <c r="DJ287" s="692"/>
      <c r="DK287" s="692"/>
      <c r="DL287" s="692"/>
      <c r="DM287" s="692"/>
      <c r="DN287" s="692"/>
      <c r="DO287" s="692"/>
      <c r="DP287" s="692"/>
      <c r="DQ287" s="692"/>
      <c r="DR287" s="692"/>
      <c r="DS287" s="692"/>
      <c r="DT287" s="692"/>
      <c r="DU287" s="692"/>
      <c r="DV287" s="692"/>
      <c r="DW287" s="692"/>
      <c r="DX287" s="692"/>
      <c r="DY287" s="692"/>
      <c r="DZ287" s="692"/>
      <c r="EA287" s="692"/>
      <c r="EB287" s="692"/>
      <c r="EC287" s="692"/>
      <c r="ED287" s="692"/>
      <c r="EE287" s="692"/>
      <c r="EF287" s="692"/>
      <c r="EG287" s="692"/>
      <c r="EH287" s="692"/>
      <c r="EI287" s="692"/>
      <c r="EJ287" s="692"/>
      <c r="EK287" s="692"/>
      <c r="EL287" s="692"/>
      <c r="EM287" s="692"/>
      <c r="EN287" s="692"/>
      <c r="EO287" s="692"/>
      <c r="EP287" s="692"/>
      <c r="EQ287" s="692"/>
      <c r="ER287" s="692"/>
      <c r="ES287" s="692"/>
      <c r="ET287" s="692"/>
      <c r="EU287" s="692"/>
      <c r="EV287" s="692"/>
      <c r="EW287" s="692"/>
      <c r="EX287" s="692"/>
      <c r="EY287" s="692"/>
      <c r="EZ287" s="692"/>
      <c r="FA287" s="692"/>
      <c r="FB287" s="692"/>
      <c r="FC287" s="692"/>
      <c r="FD287" s="692"/>
      <c r="FE287" s="692"/>
      <c r="FF287" s="692"/>
      <c r="FG287" s="692"/>
      <c r="FH287" s="692"/>
      <c r="FI287" s="692"/>
      <c r="FJ287" s="692"/>
      <c r="FK287" s="692"/>
      <c r="FL287" s="692"/>
      <c r="FM287" s="692"/>
      <c r="FN287" s="692"/>
      <c r="FO287" s="692"/>
      <c r="FP287" s="692"/>
      <c r="FQ287" s="692"/>
      <c r="FR287" s="692"/>
      <c r="FS287" s="692"/>
      <c r="FT287" s="692"/>
      <c r="FU287" s="692"/>
      <c r="FV287" s="692"/>
      <c r="FW287" s="692"/>
      <c r="FX287" s="692"/>
      <c r="FY287" s="692"/>
      <c r="FZ287" s="692"/>
      <c r="GA287" s="692"/>
      <c r="GB287" s="692"/>
      <c r="GC287" s="692"/>
      <c r="GD287" s="692"/>
      <c r="GE287" s="692"/>
      <c r="GF287" s="692"/>
      <c r="GG287" s="692"/>
      <c r="GH287" s="692"/>
      <c r="GI287" s="692"/>
      <c r="GJ287" s="692"/>
      <c r="GK287" s="692"/>
      <c r="GL287" s="692"/>
      <c r="GM287" s="692"/>
      <c r="GN287" s="692"/>
      <c r="GO287" s="692"/>
      <c r="GP287" s="692"/>
      <c r="GQ287" s="692"/>
      <c r="GR287" s="692"/>
      <c r="GS287" s="692"/>
      <c r="GT287" s="692"/>
      <c r="GU287" s="692"/>
      <c r="GV287" s="692"/>
      <c r="GW287" s="692"/>
      <c r="GX287" s="692"/>
      <c r="GY287" s="692"/>
      <c r="GZ287" s="692"/>
      <c r="HA287" s="692"/>
      <c r="HB287" s="692"/>
      <c r="HC287" s="692"/>
      <c r="HD287" s="692"/>
      <c r="HE287" s="692"/>
      <c r="HF287" s="692"/>
      <c r="HG287" s="692"/>
      <c r="HH287" s="692"/>
      <c r="HI287" s="692"/>
      <c r="HJ287" s="692"/>
      <c r="HK287" s="692"/>
      <c r="HL287" s="692"/>
      <c r="HM287" s="692"/>
      <c r="HN287" s="692"/>
      <c r="HO287" s="692"/>
      <c r="HP287" s="692"/>
      <c r="HQ287" s="692"/>
      <c r="HR287" s="692"/>
      <c r="HS287" s="692"/>
      <c r="HT287" s="692"/>
      <c r="HU287" s="692"/>
      <c r="HV287" s="692"/>
      <c r="HW287" s="692"/>
      <c r="HX287" s="692"/>
      <c r="HY287" s="692"/>
      <c r="HZ287" s="692"/>
      <c r="IA287" s="692"/>
      <c r="IB287" s="692"/>
      <c r="IC287" s="692"/>
      <c r="ID287" s="692"/>
      <c r="IE287" s="692"/>
      <c r="IF287" s="692"/>
      <c r="IG287" s="692"/>
      <c r="IH287" s="692"/>
      <c r="II287" s="692"/>
      <c r="IJ287" s="692"/>
      <c r="IK287" s="692"/>
      <c r="IL287" s="692"/>
      <c r="IM287" s="692"/>
      <c r="IN287" s="692"/>
      <c r="IO287" s="692"/>
      <c r="IP287" s="692"/>
      <c r="IQ287" s="692"/>
      <c r="IR287" s="692"/>
      <c r="IS287" s="692"/>
      <c r="IT287" s="692"/>
      <c r="IU287" s="692"/>
      <c r="IV287" s="692"/>
      <c r="IW287" s="692"/>
      <c r="IX287" s="692"/>
      <c r="IY287" s="692"/>
      <c r="IZ287" s="692"/>
      <c r="JA287" s="692"/>
      <c r="JB287" s="692"/>
      <c r="JC287" s="692"/>
      <c r="JD287" s="692"/>
      <c r="JE287" s="692"/>
      <c r="JF287" s="692"/>
      <c r="JG287" s="692"/>
      <c r="JH287" s="692"/>
      <c r="JI287" s="692"/>
      <c r="JJ287" s="692"/>
      <c r="JK287" s="692"/>
      <c r="JL287" s="692"/>
      <c r="JM287" s="692"/>
      <c r="JN287" s="692"/>
      <c r="JO287" s="692"/>
      <c r="JP287" s="692"/>
      <c r="JQ287" s="692"/>
      <c r="JR287" s="692"/>
      <c r="JS287" s="692"/>
      <c r="JT287" s="692"/>
      <c r="JU287" s="692"/>
      <c r="JV287" s="692"/>
      <c r="JW287" s="692"/>
      <c r="JX287" s="692"/>
      <c r="JY287" s="692"/>
      <c r="JZ287" s="692"/>
      <c r="KA287" s="692"/>
      <c r="KB287" s="692"/>
      <c r="KC287" s="692"/>
      <c r="KD287" s="692"/>
      <c r="KE287" s="692"/>
      <c r="KF287" s="692"/>
      <c r="KG287" s="692"/>
      <c r="KH287" s="692"/>
      <c r="KI287" s="692"/>
      <c r="KJ287" s="692"/>
      <c r="KK287" s="692"/>
      <c r="KL287" s="692"/>
      <c r="KM287" s="692"/>
      <c r="KN287" s="692"/>
      <c r="KO287" s="692"/>
      <c r="KP287" s="692"/>
      <c r="KQ287" s="692"/>
      <c r="KR287" s="692"/>
      <c r="KS287" s="692"/>
      <c r="KT287" s="692"/>
      <c r="KU287" s="692"/>
      <c r="KV287" s="692"/>
      <c r="KW287" s="692"/>
      <c r="KX287" s="692"/>
      <c r="KY287" s="692"/>
      <c r="KZ287" s="692"/>
      <c r="LA287" s="692"/>
      <c r="LB287" s="692"/>
      <c r="LC287" s="692"/>
      <c r="LD287" s="692"/>
      <c r="LE287" s="692"/>
      <c r="LF287" s="692"/>
      <c r="LG287" s="692"/>
      <c r="LH287" s="692"/>
      <c r="LI287" s="692"/>
      <c r="LJ287" s="692"/>
      <c r="LK287" s="692"/>
      <c r="LL287" s="692"/>
      <c r="LM287" s="692"/>
      <c r="LN287" s="692"/>
      <c r="LO287" s="692"/>
      <c r="LP287" s="692"/>
      <c r="LQ287" s="692"/>
      <c r="LR287" s="692"/>
      <c r="LS287" s="692"/>
      <c r="LT287" s="692"/>
      <c r="LU287" s="692"/>
      <c r="LV287" s="692"/>
      <c r="LW287" s="692"/>
      <c r="LX287" s="692"/>
      <c r="LY287" s="692"/>
      <c r="LZ287" s="692"/>
      <c r="MA287" s="692"/>
      <c r="MB287" s="692"/>
      <c r="MC287" s="692"/>
      <c r="MD287" s="692"/>
      <c r="ME287" s="692"/>
      <c r="MF287" s="692"/>
      <c r="MG287" s="692"/>
      <c r="MH287" s="692"/>
      <c r="MI287" s="692"/>
      <c r="MJ287" s="692"/>
      <c r="MK287" s="692"/>
      <c r="ML287" s="692"/>
      <c r="MM287" s="692"/>
      <c r="MN287" s="692"/>
      <c r="MO287" s="692"/>
      <c r="MP287" s="692"/>
      <c r="MQ287" s="692"/>
      <c r="MR287" s="692"/>
      <c r="MS287" s="692"/>
      <c r="MT287" s="692"/>
      <c r="MU287" s="692"/>
      <c r="MV287" s="692"/>
      <c r="MW287" s="692"/>
      <c r="MX287" s="692"/>
      <c r="MY287" s="692"/>
      <c r="MZ287" s="692"/>
      <c r="NA287" s="692"/>
      <c r="NB287" s="692"/>
      <c r="NC287" s="692"/>
      <c r="ND287" s="692"/>
      <c r="NE287" s="692"/>
      <c r="NF287" s="692"/>
      <c r="NG287" s="692"/>
      <c r="NH287" s="692"/>
      <c r="NI287" s="692"/>
      <c r="NJ287" s="692"/>
      <c r="NK287" s="692"/>
      <c r="NL287" s="692"/>
      <c r="NM287" s="692"/>
      <c r="NN287" s="692"/>
      <c r="NO287" s="692"/>
      <c r="NP287" s="692"/>
      <c r="NQ287" s="692"/>
      <c r="NR287" s="692"/>
    </row>
    <row r="288" spans="1:382" ht="15.75" thickBot="1" x14ac:dyDescent="0.3">
      <c r="A288" s="681"/>
      <c r="B288" s="189" t="s">
        <v>1731</v>
      </c>
      <c r="C288" s="701">
        <f>C284*C287</f>
        <v>0</v>
      </c>
      <c r="D288" s="680" t="s">
        <v>1575</v>
      </c>
      <c r="E288" s="25"/>
      <c r="F288" s="203"/>
      <c r="G288" s="692"/>
      <c r="H288" s="692"/>
      <c r="I288" s="692"/>
      <c r="J288" s="692"/>
      <c r="K288" s="692"/>
      <c r="L288" s="692"/>
      <c r="M288" s="692"/>
      <c r="N288" s="692"/>
      <c r="O288" s="692"/>
      <c r="P288" s="692"/>
      <c r="Q288" s="692"/>
      <c r="R288" s="692"/>
      <c r="S288" s="692"/>
      <c r="T288" s="692"/>
      <c r="U288" s="692"/>
      <c r="V288" s="692"/>
      <c r="W288" s="692"/>
      <c r="X288" s="692"/>
      <c r="Y288" s="692"/>
      <c r="Z288" s="692"/>
      <c r="AA288" s="692"/>
      <c r="AB288" s="692"/>
      <c r="AC288" s="692"/>
      <c r="AD288" s="692"/>
      <c r="AE288" s="692"/>
      <c r="AF288" s="692"/>
      <c r="AG288" s="692"/>
      <c r="AH288" s="692"/>
      <c r="AI288" s="692"/>
      <c r="AJ288" s="692"/>
      <c r="AK288" s="692"/>
      <c r="AL288" s="692"/>
      <c r="AM288" s="692"/>
      <c r="AN288" s="692"/>
      <c r="AO288" s="692"/>
      <c r="AP288" s="692"/>
      <c r="AQ288" s="692"/>
      <c r="AR288" s="692"/>
      <c r="AS288" s="692"/>
      <c r="AT288" s="692"/>
      <c r="AU288" s="692"/>
      <c r="AV288" s="692"/>
      <c r="AW288" s="692"/>
      <c r="AX288" s="692"/>
      <c r="AY288" s="692"/>
      <c r="AZ288" s="692"/>
      <c r="BA288" s="692"/>
      <c r="BB288" s="692"/>
      <c r="BC288" s="692"/>
      <c r="BD288" s="692"/>
      <c r="BE288" s="692"/>
      <c r="BF288" s="692"/>
      <c r="BG288" s="692"/>
      <c r="BH288" s="692"/>
      <c r="BI288" s="692"/>
      <c r="BJ288" s="692"/>
      <c r="BK288" s="692"/>
      <c r="BL288" s="692"/>
      <c r="BM288" s="692"/>
      <c r="BN288" s="692"/>
      <c r="BO288" s="692"/>
      <c r="BP288" s="692"/>
      <c r="BQ288" s="692"/>
      <c r="BR288" s="692"/>
      <c r="BS288" s="692"/>
      <c r="BT288" s="692"/>
      <c r="BU288" s="692"/>
      <c r="BV288" s="692"/>
      <c r="BW288" s="692"/>
      <c r="BX288" s="692"/>
      <c r="BY288" s="692"/>
      <c r="BZ288" s="692"/>
      <c r="CA288" s="692"/>
      <c r="CB288" s="692"/>
      <c r="CC288" s="692"/>
      <c r="CD288" s="692"/>
      <c r="CE288" s="692"/>
      <c r="CF288" s="692"/>
      <c r="CG288" s="692"/>
      <c r="CH288" s="692"/>
      <c r="CI288" s="692"/>
      <c r="CJ288" s="692"/>
      <c r="CK288" s="692"/>
      <c r="CL288" s="692"/>
      <c r="CM288" s="692"/>
      <c r="CN288" s="692"/>
      <c r="CO288" s="692"/>
      <c r="CP288" s="692"/>
      <c r="CQ288" s="692"/>
      <c r="CR288" s="692"/>
      <c r="CS288" s="692"/>
      <c r="CT288" s="692"/>
      <c r="CU288" s="692"/>
      <c r="CV288" s="692"/>
      <c r="CW288" s="692"/>
      <c r="CX288" s="692"/>
      <c r="CY288" s="692"/>
      <c r="CZ288" s="692"/>
      <c r="DA288" s="692"/>
      <c r="DB288" s="692"/>
      <c r="DC288" s="692"/>
      <c r="DD288" s="692"/>
      <c r="DE288" s="692"/>
      <c r="DF288" s="692"/>
      <c r="DG288" s="692"/>
      <c r="DH288" s="692"/>
      <c r="DI288" s="692"/>
      <c r="DJ288" s="692"/>
      <c r="DK288" s="692"/>
      <c r="DL288" s="692"/>
      <c r="DM288" s="692"/>
      <c r="DN288" s="692"/>
      <c r="DO288" s="692"/>
      <c r="DP288" s="692"/>
      <c r="DQ288" s="692"/>
      <c r="DR288" s="692"/>
      <c r="DS288" s="692"/>
      <c r="DT288" s="692"/>
      <c r="DU288" s="692"/>
      <c r="DV288" s="692"/>
      <c r="DW288" s="692"/>
      <c r="DX288" s="692"/>
      <c r="DY288" s="692"/>
      <c r="DZ288" s="692"/>
      <c r="EA288" s="692"/>
      <c r="EB288" s="692"/>
      <c r="EC288" s="692"/>
      <c r="ED288" s="692"/>
      <c r="EE288" s="692"/>
      <c r="EF288" s="692"/>
      <c r="EG288" s="692"/>
      <c r="EH288" s="692"/>
      <c r="EI288" s="692"/>
      <c r="EJ288" s="692"/>
      <c r="EK288" s="692"/>
      <c r="EL288" s="692"/>
      <c r="EM288" s="692"/>
      <c r="EN288" s="692"/>
      <c r="EO288" s="692"/>
      <c r="EP288" s="692"/>
      <c r="EQ288" s="692"/>
      <c r="ER288" s="692"/>
      <c r="ES288" s="692"/>
      <c r="ET288" s="692"/>
      <c r="EU288" s="692"/>
      <c r="EV288" s="692"/>
      <c r="EW288" s="692"/>
      <c r="EX288" s="692"/>
      <c r="EY288" s="692"/>
      <c r="EZ288" s="692"/>
      <c r="FA288" s="692"/>
      <c r="FB288" s="692"/>
      <c r="FC288" s="692"/>
      <c r="FD288" s="692"/>
      <c r="FE288" s="692"/>
      <c r="FF288" s="692"/>
      <c r="FG288" s="692"/>
      <c r="FH288" s="692"/>
      <c r="FI288" s="692"/>
      <c r="FJ288" s="692"/>
      <c r="FK288" s="692"/>
      <c r="FL288" s="692"/>
      <c r="FM288" s="692"/>
      <c r="FN288" s="692"/>
      <c r="FO288" s="692"/>
      <c r="FP288" s="692"/>
      <c r="FQ288" s="692"/>
      <c r="FR288" s="692"/>
      <c r="FS288" s="692"/>
      <c r="FT288" s="692"/>
      <c r="FU288" s="692"/>
      <c r="FV288" s="692"/>
      <c r="FW288" s="692"/>
      <c r="FX288" s="692"/>
      <c r="FY288" s="692"/>
      <c r="FZ288" s="692"/>
      <c r="GA288" s="692"/>
      <c r="GB288" s="692"/>
      <c r="GC288" s="692"/>
      <c r="GD288" s="692"/>
      <c r="GE288" s="692"/>
      <c r="GF288" s="692"/>
      <c r="GG288" s="692"/>
      <c r="GH288" s="692"/>
      <c r="GI288" s="692"/>
      <c r="GJ288" s="692"/>
      <c r="GK288" s="692"/>
      <c r="GL288" s="692"/>
      <c r="GM288" s="692"/>
      <c r="GN288" s="692"/>
      <c r="GO288" s="692"/>
      <c r="GP288" s="692"/>
      <c r="GQ288" s="692"/>
      <c r="GR288" s="692"/>
      <c r="GS288" s="692"/>
      <c r="GT288" s="692"/>
      <c r="GU288" s="692"/>
      <c r="GV288" s="692"/>
      <c r="GW288" s="692"/>
      <c r="GX288" s="692"/>
      <c r="GY288" s="692"/>
      <c r="GZ288" s="692"/>
      <c r="HA288" s="692"/>
      <c r="HB288" s="692"/>
      <c r="HC288" s="692"/>
      <c r="HD288" s="692"/>
      <c r="HE288" s="692"/>
      <c r="HF288" s="692"/>
      <c r="HG288" s="692"/>
      <c r="HH288" s="692"/>
      <c r="HI288" s="692"/>
      <c r="HJ288" s="692"/>
      <c r="HK288" s="692"/>
      <c r="HL288" s="692"/>
      <c r="HM288" s="692"/>
      <c r="HN288" s="692"/>
      <c r="HO288" s="692"/>
      <c r="HP288" s="692"/>
      <c r="HQ288" s="692"/>
      <c r="HR288" s="692"/>
      <c r="HS288" s="692"/>
      <c r="HT288" s="692"/>
      <c r="HU288" s="692"/>
      <c r="HV288" s="692"/>
      <c r="HW288" s="692"/>
      <c r="HX288" s="692"/>
      <c r="HY288" s="692"/>
      <c r="HZ288" s="692"/>
      <c r="IA288" s="692"/>
      <c r="IB288" s="692"/>
      <c r="IC288" s="692"/>
      <c r="ID288" s="692"/>
      <c r="IE288" s="692"/>
      <c r="IF288" s="692"/>
      <c r="IG288" s="692"/>
      <c r="IH288" s="692"/>
      <c r="II288" s="692"/>
      <c r="IJ288" s="692"/>
      <c r="IK288" s="692"/>
      <c r="IL288" s="692"/>
      <c r="IM288" s="692"/>
      <c r="IN288" s="692"/>
      <c r="IO288" s="692"/>
      <c r="IP288" s="692"/>
      <c r="IQ288" s="692"/>
      <c r="IR288" s="692"/>
      <c r="IS288" s="692"/>
      <c r="IT288" s="692"/>
      <c r="IU288" s="692"/>
      <c r="IV288" s="692"/>
      <c r="IW288" s="692"/>
      <c r="IX288" s="692"/>
      <c r="IY288" s="692"/>
      <c r="IZ288" s="692"/>
      <c r="JA288" s="692"/>
      <c r="JB288" s="692"/>
      <c r="JC288" s="692"/>
      <c r="JD288" s="692"/>
      <c r="JE288" s="692"/>
      <c r="JF288" s="692"/>
      <c r="JG288" s="692"/>
      <c r="JH288" s="692"/>
      <c r="JI288" s="692"/>
      <c r="JJ288" s="692"/>
      <c r="JK288" s="692"/>
      <c r="JL288" s="692"/>
      <c r="JM288" s="692"/>
      <c r="JN288" s="692"/>
      <c r="JO288" s="692"/>
      <c r="JP288" s="692"/>
      <c r="JQ288" s="692"/>
      <c r="JR288" s="692"/>
      <c r="JS288" s="692"/>
      <c r="JT288" s="692"/>
      <c r="JU288" s="692"/>
      <c r="JV288" s="692"/>
      <c r="JW288" s="692"/>
      <c r="JX288" s="692"/>
      <c r="JY288" s="692"/>
      <c r="JZ288" s="692"/>
      <c r="KA288" s="692"/>
      <c r="KB288" s="692"/>
      <c r="KC288" s="692"/>
      <c r="KD288" s="692"/>
      <c r="KE288" s="692"/>
      <c r="KF288" s="692"/>
      <c r="KG288" s="692"/>
      <c r="KH288" s="692"/>
      <c r="KI288" s="692"/>
      <c r="KJ288" s="692"/>
      <c r="KK288" s="692"/>
      <c r="KL288" s="692"/>
      <c r="KM288" s="692"/>
      <c r="KN288" s="692"/>
      <c r="KO288" s="692"/>
      <c r="KP288" s="692"/>
      <c r="KQ288" s="692"/>
      <c r="KR288" s="692"/>
      <c r="KS288" s="692"/>
      <c r="KT288" s="692"/>
      <c r="KU288" s="692"/>
      <c r="KV288" s="692"/>
      <c r="KW288" s="692"/>
      <c r="KX288" s="692"/>
      <c r="KY288" s="692"/>
      <c r="KZ288" s="692"/>
      <c r="LA288" s="692"/>
      <c r="LB288" s="692"/>
      <c r="LC288" s="692"/>
      <c r="LD288" s="692"/>
      <c r="LE288" s="692"/>
      <c r="LF288" s="692"/>
      <c r="LG288" s="692"/>
      <c r="LH288" s="692"/>
      <c r="LI288" s="692"/>
      <c r="LJ288" s="692"/>
      <c r="LK288" s="692"/>
      <c r="LL288" s="692"/>
      <c r="LM288" s="692"/>
      <c r="LN288" s="692"/>
      <c r="LO288" s="692"/>
      <c r="LP288" s="692"/>
      <c r="LQ288" s="692"/>
      <c r="LR288" s="692"/>
      <c r="LS288" s="692"/>
      <c r="LT288" s="692"/>
      <c r="LU288" s="692"/>
      <c r="LV288" s="692"/>
      <c r="LW288" s="692"/>
      <c r="LX288" s="692"/>
      <c r="LY288" s="692"/>
      <c r="LZ288" s="692"/>
      <c r="MA288" s="692"/>
      <c r="MB288" s="692"/>
      <c r="MC288" s="692"/>
      <c r="MD288" s="692"/>
      <c r="ME288" s="692"/>
      <c r="MF288" s="692"/>
      <c r="MG288" s="692"/>
      <c r="MH288" s="692"/>
      <c r="MI288" s="692"/>
      <c r="MJ288" s="692"/>
      <c r="MK288" s="692"/>
      <c r="ML288" s="692"/>
      <c r="MM288" s="692"/>
      <c r="MN288" s="692"/>
      <c r="MO288" s="692"/>
      <c r="MP288" s="692"/>
      <c r="MQ288" s="692"/>
      <c r="MR288" s="692"/>
      <c r="MS288" s="692"/>
      <c r="MT288" s="692"/>
      <c r="MU288" s="692"/>
      <c r="MV288" s="692"/>
      <c r="MW288" s="692"/>
      <c r="MX288" s="692"/>
      <c r="MY288" s="692"/>
      <c r="MZ288" s="692"/>
      <c r="NA288" s="692"/>
      <c r="NB288" s="692"/>
      <c r="NC288" s="692"/>
      <c r="ND288" s="692"/>
      <c r="NE288" s="692"/>
      <c r="NF288" s="692"/>
      <c r="NG288" s="692"/>
      <c r="NH288" s="692"/>
      <c r="NI288" s="692"/>
      <c r="NJ288" s="692"/>
      <c r="NK288" s="692"/>
      <c r="NL288" s="692"/>
      <c r="NM288" s="692"/>
      <c r="NN288" s="692"/>
      <c r="NO288" s="692"/>
      <c r="NP288" s="692"/>
      <c r="NQ288" s="692"/>
      <c r="NR288" s="692"/>
    </row>
    <row r="289" spans="1:6" ht="15.75" thickBot="1" x14ac:dyDescent="0.3">
      <c r="A289" s="681"/>
      <c r="B289" s="680"/>
      <c r="C289" s="509"/>
      <c r="D289" s="680"/>
      <c r="E289" s="25"/>
      <c r="F289" s="203"/>
    </row>
    <row r="290" spans="1:6" ht="15.75" thickBot="1" x14ac:dyDescent="0.3">
      <c r="A290" s="681"/>
      <c r="B290" s="680" t="s">
        <v>1083</v>
      </c>
      <c r="C290" s="747">
        <f>'Input Data'!$E$310</f>
        <v>0</v>
      </c>
      <c r="D290" s="680" t="s">
        <v>667</v>
      </c>
      <c r="E290" s="25"/>
      <c r="F290" s="203"/>
    </row>
    <row r="291" spans="1:6" x14ac:dyDescent="0.25">
      <c r="A291" s="681"/>
      <c r="B291" s="680" t="s">
        <v>1327</v>
      </c>
      <c r="C291" s="161">
        <f>'Input Data'!E17*1000</f>
        <v>0</v>
      </c>
      <c r="D291" s="680" t="s">
        <v>390</v>
      </c>
      <c r="E291" s="25"/>
      <c r="F291" s="203"/>
    </row>
    <row r="292" spans="1:6" x14ac:dyDescent="0.25">
      <c r="A292" s="681"/>
      <c r="B292" s="680" t="s">
        <v>1732</v>
      </c>
      <c r="C292" s="509">
        <f>IF(C285=0,0,C290/C291)</f>
        <v>0</v>
      </c>
      <c r="D292" s="680" t="s">
        <v>1727</v>
      </c>
      <c r="E292" s="25"/>
      <c r="F292" s="209" t="s">
        <v>1721</v>
      </c>
    </row>
    <row r="293" spans="1:6" ht="15.75" thickBot="1" x14ac:dyDescent="0.3">
      <c r="A293" s="681"/>
      <c r="B293" s="680" t="s">
        <v>1733</v>
      </c>
      <c r="C293" s="684">
        <f>'Conversion factors'!B16</f>
        <v>11</v>
      </c>
      <c r="D293" s="680" t="s">
        <v>1711</v>
      </c>
      <c r="E293" s="25"/>
      <c r="F293" s="203"/>
    </row>
    <row r="294" spans="1:6" ht="15.75" thickBot="1" x14ac:dyDescent="0.3">
      <c r="A294" s="681"/>
      <c r="B294" s="189" t="s">
        <v>1734</v>
      </c>
      <c r="C294" s="701">
        <f>C290*C293</f>
        <v>0</v>
      </c>
      <c r="D294" s="680" t="s">
        <v>1575</v>
      </c>
      <c r="E294" s="25"/>
      <c r="F294" s="203"/>
    </row>
    <row r="295" spans="1:6" ht="15.75" thickBot="1" x14ac:dyDescent="0.3">
      <c r="A295" s="681"/>
      <c r="B295" s="680"/>
      <c r="C295" s="509"/>
      <c r="D295" s="680"/>
      <c r="E295" s="25"/>
      <c r="F295" s="203"/>
    </row>
    <row r="296" spans="1:6" ht="15.75" thickBot="1" x14ac:dyDescent="0.3">
      <c r="A296" s="681"/>
      <c r="B296" s="680" t="s">
        <v>1085</v>
      </c>
      <c r="C296" s="747">
        <f>'Input Data'!$E$311</f>
        <v>0</v>
      </c>
      <c r="D296" s="680" t="s">
        <v>667</v>
      </c>
      <c r="E296" s="25"/>
      <c r="F296" s="203"/>
    </row>
    <row r="297" spans="1:6" x14ac:dyDescent="0.25">
      <c r="A297" s="681"/>
      <c r="B297" s="680" t="s">
        <v>1327</v>
      </c>
      <c r="C297" s="161">
        <f>'Input Data'!E17*1000</f>
        <v>0</v>
      </c>
      <c r="D297" s="680" t="s">
        <v>390</v>
      </c>
      <c r="E297" s="25"/>
      <c r="F297" s="203"/>
    </row>
    <row r="298" spans="1:6" x14ac:dyDescent="0.25">
      <c r="A298" s="681"/>
      <c r="B298" s="680" t="s">
        <v>1692</v>
      </c>
      <c r="C298" s="509">
        <f>IF(C297=0,0,C296/C297)</f>
        <v>0</v>
      </c>
      <c r="D298" s="680" t="s">
        <v>1727</v>
      </c>
      <c r="E298" s="25"/>
      <c r="F298" s="203"/>
    </row>
    <row r="299" spans="1:6" ht="15.75" thickBot="1" x14ac:dyDescent="0.3">
      <c r="A299" s="681"/>
      <c r="B299" s="680" t="s">
        <v>1735</v>
      </c>
      <c r="C299" s="684">
        <f>'Conversion factors'!B17</f>
        <v>46.3</v>
      </c>
      <c r="D299" s="680" t="s">
        <v>1048</v>
      </c>
      <c r="E299" s="25"/>
      <c r="F299" s="203"/>
    </row>
    <row r="300" spans="1:6" ht="15.75" thickBot="1" x14ac:dyDescent="0.3">
      <c r="A300" s="681"/>
      <c r="B300" s="189" t="s">
        <v>1736</v>
      </c>
      <c r="C300" s="701">
        <f>C296*C299</f>
        <v>0</v>
      </c>
      <c r="D300" s="680" t="s">
        <v>1575</v>
      </c>
      <c r="E300" s="25"/>
      <c r="F300" s="203"/>
    </row>
    <row r="301" spans="1:6" ht="15.75" thickBot="1" x14ac:dyDescent="0.3">
      <c r="A301" s="681"/>
      <c r="B301" s="680"/>
      <c r="C301" s="509"/>
      <c r="D301" s="680"/>
      <c r="E301" s="25"/>
      <c r="F301" s="203"/>
    </row>
    <row r="302" spans="1:6" ht="15.75" thickBot="1" x14ac:dyDescent="0.3">
      <c r="A302" s="681"/>
      <c r="B302" s="680" t="s">
        <v>1087</v>
      </c>
      <c r="C302" s="747">
        <f>'Input Data'!$E$312</f>
        <v>0</v>
      </c>
      <c r="D302" s="680" t="s">
        <v>667</v>
      </c>
      <c r="E302" s="25"/>
      <c r="F302" s="203"/>
    </row>
    <row r="303" spans="1:6" x14ac:dyDescent="0.25">
      <c r="A303" s="681"/>
      <c r="B303" s="680" t="s">
        <v>1327</v>
      </c>
      <c r="C303" s="161">
        <f>'Input Data'!E17*1000</f>
        <v>0</v>
      </c>
      <c r="D303" s="680" t="s">
        <v>390</v>
      </c>
      <c r="E303" s="25"/>
      <c r="F303" s="203"/>
    </row>
    <row r="304" spans="1:6" x14ac:dyDescent="0.25">
      <c r="A304" s="681"/>
      <c r="B304" s="680" t="s">
        <v>1737</v>
      </c>
      <c r="C304" s="509">
        <f>IF(C303=0,0,C302/C303)</f>
        <v>0</v>
      </c>
      <c r="D304" s="680" t="s">
        <v>1727</v>
      </c>
      <c r="E304" s="25"/>
      <c r="F304" s="203"/>
    </row>
    <row r="305" spans="1:6" ht="15.75" thickBot="1" x14ac:dyDescent="0.3">
      <c r="A305" s="681"/>
      <c r="B305" s="680" t="s">
        <v>1738</v>
      </c>
      <c r="C305" s="684">
        <f>'Conversion factors'!B19</f>
        <v>56.9</v>
      </c>
      <c r="D305" s="680" t="s">
        <v>1048</v>
      </c>
      <c r="E305" s="25"/>
      <c r="F305" s="203"/>
    </row>
    <row r="306" spans="1:6" ht="15.75" thickBot="1" x14ac:dyDescent="0.3">
      <c r="A306" s="681"/>
      <c r="B306" s="189" t="s">
        <v>1739</v>
      </c>
      <c r="C306" s="701">
        <f>C302*C305</f>
        <v>0</v>
      </c>
      <c r="D306" s="680" t="s">
        <v>1575</v>
      </c>
      <c r="E306" s="25"/>
      <c r="F306" s="203"/>
    </row>
    <row r="307" spans="1:6" ht="15.75" thickBot="1" x14ac:dyDescent="0.3">
      <c r="A307" s="681"/>
      <c r="B307" s="680"/>
      <c r="C307" s="509"/>
      <c r="D307" s="680"/>
      <c r="E307" s="25"/>
      <c r="F307" s="203"/>
    </row>
    <row r="308" spans="1:6" ht="15.75" thickBot="1" x14ac:dyDescent="0.3">
      <c r="A308" s="681"/>
      <c r="B308" s="680" t="s">
        <v>1740</v>
      </c>
      <c r="C308" s="747">
        <f>'Input Data'!$E$313</f>
        <v>0</v>
      </c>
      <c r="D308" s="680" t="s">
        <v>667</v>
      </c>
      <c r="E308" s="25"/>
      <c r="F308" s="203"/>
    </row>
    <row r="309" spans="1:6" x14ac:dyDescent="0.25">
      <c r="A309" s="681"/>
      <c r="B309" s="680" t="s">
        <v>1327</v>
      </c>
      <c r="C309" s="161">
        <f>'Input Data'!E17*1000</f>
        <v>0</v>
      </c>
      <c r="D309" s="680" t="s">
        <v>390</v>
      </c>
      <c r="E309" s="25"/>
      <c r="F309" s="203"/>
    </row>
    <row r="310" spans="1:6" x14ac:dyDescent="0.25">
      <c r="A310" s="681"/>
      <c r="B310" s="680" t="s">
        <v>1741</v>
      </c>
      <c r="C310" s="509">
        <f>IF(C309=0,0,C308/C309)</f>
        <v>0</v>
      </c>
      <c r="D310" s="680" t="s">
        <v>1727</v>
      </c>
      <c r="E310" s="25"/>
      <c r="F310" s="203"/>
    </row>
    <row r="311" spans="1:6" ht="15.75" thickBot="1" x14ac:dyDescent="0.3">
      <c r="A311" s="681"/>
      <c r="B311" s="680" t="s">
        <v>1742</v>
      </c>
      <c r="C311" s="684">
        <f>'Conversion factors'!B20</f>
        <v>50</v>
      </c>
      <c r="D311" s="680" t="s">
        <v>1048</v>
      </c>
      <c r="E311" s="25"/>
      <c r="F311" s="209" t="s">
        <v>1743</v>
      </c>
    </row>
    <row r="312" spans="1:6" ht="15.75" thickBot="1" x14ac:dyDescent="0.3">
      <c r="A312" s="681"/>
      <c r="B312" s="189" t="s">
        <v>1744</v>
      </c>
      <c r="C312" s="701">
        <f>C308*C311</f>
        <v>0</v>
      </c>
      <c r="D312" s="680" t="s">
        <v>1575</v>
      </c>
      <c r="E312" s="25"/>
      <c r="F312" s="203"/>
    </row>
    <row r="313" spans="1:6" ht="15.75" thickBot="1" x14ac:dyDescent="0.3">
      <c r="A313" s="681"/>
      <c r="B313" s="680"/>
      <c r="C313" s="509"/>
      <c r="D313" s="680"/>
      <c r="E313" s="25"/>
      <c r="F313" s="203"/>
    </row>
    <row r="314" spans="1:6" ht="15.75" thickBot="1" x14ac:dyDescent="0.3">
      <c r="A314" s="681"/>
      <c r="B314" s="682" t="s">
        <v>1745</v>
      </c>
      <c r="C314" s="703">
        <f>C282+C288+C294+C300+C306+C312</f>
        <v>0</v>
      </c>
      <c r="D314" s="680" t="s">
        <v>1575</v>
      </c>
      <c r="E314" s="25"/>
      <c r="F314" s="203"/>
    </row>
    <row r="315" spans="1:6" x14ac:dyDescent="0.25">
      <c r="A315" s="681"/>
      <c r="B315" s="682" t="s">
        <v>1745</v>
      </c>
      <c r="C315" s="701" t="e">
        <f>C314/'Input Data'!E15</f>
        <v>#DIV/0!</v>
      </c>
      <c r="D315" s="680" t="s">
        <v>1061</v>
      </c>
      <c r="E315" s="706"/>
      <c r="F315" s="203"/>
    </row>
    <row r="316" spans="1:6" ht="15.75" thickBot="1" x14ac:dyDescent="0.3">
      <c r="A316" s="680"/>
      <c r="B316" s="680"/>
      <c r="C316" s="509"/>
      <c r="D316" s="680"/>
      <c r="E316" s="25"/>
      <c r="F316" s="203"/>
    </row>
    <row r="317" spans="1:6" ht="15.75" thickBot="1" x14ac:dyDescent="0.3">
      <c r="A317" s="680"/>
      <c r="B317" s="125" t="s">
        <v>1746</v>
      </c>
      <c r="C317" s="509"/>
      <c r="D317" s="680"/>
      <c r="E317" s="25"/>
      <c r="F317" s="203"/>
    </row>
    <row r="318" spans="1:6" ht="15.75" thickBot="1" x14ac:dyDescent="0.3">
      <c r="A318" s="680"/>
      <c r="B318" s="122"/>
      <c r="C318" s="509"/>
      <c r="D318" s="680"/>
      <c r="E318" s="25"/>
      <c r="F318" s="203"/>
    </row>
    <row r="319" spans="1:6" ht="15.75" thickBot="1" x14ac:dyDescent="0.3">
      <c r="A319" s="680"/>
      <c r="B319" s="680" t="s">
        <v>1747</v>
      </c>
      <c r="C319" s="698">
        <f>'Input Data'!$E$307</f>
        <v>0</v>
      </c>
      <c r="D319" s="680" t="s">
        <v>667</v>
      </c>
      <c r="E319" s="25"/>
      <c r="F319" s="220"/>
    </row>
    <row r="320" spans="1:6" ht="15.75" thickBot="1" x14ac:dyDescent="0.3">
      <c r="A320" s="680"/>
      <c r="B320" s="680" t="s">
        <v>1729</v>
      </c>
      <c r="C320" s="698">
        <f>'Input Data'!$E$309</f>
        <v>0</v>
      </c>
      <c r="D320" s="680" t="s">
        <v>667</v>
      </c>
      <c r="E320" s="25"/>
      <c r="F320" s="220"/>
    </row>
    <row r="321" spans="1:6" ht="15.75" thickBot="1" x14ac:dyDescent="0.3">
      <c r="A321" s="680"/>
      <c r="B321" s="680" t="s">
        <v>1748</v>
      </c>
      <c r="C321" s="698">
        <f>'Input Data'!$E$310</f>
        <v>0</v>
      </c>
      <c r="D321" s="680" t="s">
        <v>667</v>
      </c>
      <c r="E321" s="25"/>
      <c r="F321" s="220"/>
    </row>
    <row r="322" spans="1:6" ht="15.75" thickBot="1" x14ac:dyDescent="0.3">
      <c r="A322" s="680"/>
      <c r="B322" s="680" t="s">
        <v>1692</v>
      </c>
      <c r="C322" s="698">
        <f>'Input Data'!$E$311</f>
        <v>0</v>
      </c>
      <c r="D322" s="680" t="s">
        <v>667</v>
      </c>
      <c r="E322" s="25"/>
      <c r="F322" s="198"/>
    </row>
    <row r="323" spans="1:6" ht="15.75" thickBot="1" x14ac:dyDescent="0.3">
      <c r="A323" s="680"/>
      <c r="B323" s="680" t="s">
        <v>1749</v>
      </c>
      <c r="C323" s="698">
        <f>'Input Data'!$E$312</f>
        <v>0</v>
      </c>
      <c r="D323" s="680" t="s">
        <v>667</v>
      </c>
      <c r="E323" s="25"/>
      <c r="F323" s="220"/>
    </row>
    <row r="324" spans="1:6" ht="15.75" thickBot="1" x14ac:dyDescent="0.3">
      <c r="A324" s="680"/>
      <c r="B324" s="680" t="s">
        <v>1741</v>
      </c>
      <c r="C324" s="698">
        <f>'Input Data'!$E$313</f>
        <v>0</v>
      </c>
      <c r="D324" s="680" t="s">
        <v>667</v>
      </c>
      <c r="E324" s="28"/>
      <c r="F324" s="220"/>
    </row>
    <row r="325" spans="1:6" ht="15.75" thickBot="1" x14ac:dyDescent="0.3">
      <c r="A325" s="680"/>
      <c r="B325" s="189" t="s">
        <v>1750</v>
      </c>
      <c r="C325" s="701">
        <f>C319+C320+C321+C322+C323+C324</f>
        <v>0</v>
      </c>
      <c r="D325" s="680" t="s">
        <v>667</v>
      </c>
      <c r="E325" s="25"/>
      <c r="F325" s="220"/>
    </row>
    <row r="326" spans="1:6" x14ac:dyDescent="0.25">
      <c r="A326" s="680"/>
      <c r="B326" s="682"/>
      <c r="C326" s="509"/>
      <c r="D326" s="680"/>
      <c r="E326" s="25"/>
      <c r="F326" s="203"/>
    </row>
    <row r="327" spans="1:6" ht="16.5" x14ac:dyDescent="0.25">
      <c r="A327" s="680"/>
      <c r="B327" s="680" t="s">
        <v>1708</v>
      </c>
      <c r="C327" s="701">
        <f>'Input Data'!$E$302*1000</f>
        <v>0</v>
      </c>
      <c r="D327" s="680" t="s">
        <v>1751</v>
      </c>
      <c r="E327" s="25"/>
      <c r="F327" s="203"/>
    </row>
    <row r="328" spans="1:6" ht="15.75" thickBot="1" x14ac:dyDescent="0.3">
      <c r="A328" s="680"/>
      <c r="B328" s="680" t="s">
        <v>1075</v>
      </c>
      <c r="C328" s="684">
        <f>'Input Data'!$E$306*'Input Data'!E15/1000</f>
        <v>0</v>
      </c>
      <c r="D328" s="680" t="s">
        <v>667</v>
      </c>
      <c r="E328" s="25"/>
      <c r="F328" s="203"/>
    </row>
    <row r="329" spans="1:6" ht="15.75" thickBot="1" x14ac:dyDescent="0.3">
      <c r="A329" s="680"/>
      <c r="B329" s="680" t="s">
        <v>1752</v>
      </c>
      <c r="C329" s="698">
        <f>'Input Data'!$E$303</f>
        <v>0</v>
      </c>
      <c r="D329" s="680" t="s">
        <v>667</v>
      </c>
      <c r="E329" s="25"/>
      <c r="F329" s="203"/>
    </row>
    <row r="330" spans="1:6" x14ac:dyDescent="0.25">
      <c r="A330" s="680"/>
      <c r="B330" s="680" t="s">
        <v>1753</v>
      </c>
      <c r="C330" s="161">
        <f>'Input Data'!$E$305*'Input Data'!E15/1000</f>
        <v>0</v>
      </c>
      <c r="D330" s="680" t="s">
        <v>667</v>
      </c>
      <c r="E330" s="25"/>
      <c r="F330" s="203"/>
    </row>
    <row r="331" spans="1:6" ht="15.75" thickBot="1" x14ac:dyDescent="0.3">
      <c r="A331" s="680"/>
      <c r="B331" s="680" t="s">
        <v>1754</v>
      </c>
      <c r="C331" s="684">
        <f>'Input Data'!E304*'Input Data'!E15/1000</f>
        <v>0</v>
      </c>
      <c r="D331" s="680" t="s">
        <v>667</v>
      </c>
      <c r="E331" s="25"/>
      <c r="F331" s="203"/>
    </row>
    <row r="332" spans="1:6" ht="15.75" thickBot="1" x14ac:dyDescent="0.3">
      <c r="A332" s="680"/>
      <c r="B332" s="189" t="s">
        <v>1755</v>
      </c>
      <c r="C332" s="701">
        <f>C327+(C328+C329+C330+C331)</f>
        <v>0</v>
      </c>
      <c r="D332" s="680" t="s">
        <v>667</v>
      </c>
      <c r="E332" s="25"/>
      <c r="F332" s="203"/>
    </row>
    <row r="333" spans="1:6" x14ac:dyDescent="0.25">
      <c r="A333" s="680"/>
      <c r="B333" s="121"/>
      <c r="C333" s="509"/>
      <c r="D333" s="680"/>
      <c r="E333" s="169"/>
      <c r="F333" s="203"/>
    </row>
    <row r="334" spans="1:6" x14ac:dyDescent="0.25">
      <c r="A334" s="680"/>
      <c r="B334" s="680" t="s">
        <v>1756</v>
      </c>
      <c r="C334" s="684">
        <f>'Conversion factors'!B27</f>
        <v>0.5</v>
      </c>
      <c r="D334" s="680" t="s">
        <v>1711</v>
      </c>
      <c r="E334" s="25"/>
      <c r="F334" s="209"/>
    </row>
    <row r="335" spans="1:6" ht="15.75" thickBot="1" x14ac:dyDescent="0.3">
      <c r="A335" s="680"/>
      <c r="B335" s="680"/>
      <c r="C335" s="177"/>
      <c r="D335" s="680"/>
      <c r="E335" s="25"/>
      <c r="F335" s="209"/>
    </row>
    <row r="336" spans="1:6" ht="15.75" thickBot="1" x14ac:dyDescent="0.3">
      <c r="A336" s="680"/>
      <c r="B336" s="680" t="s">
        <v>1746</v>
      </c>
      <c r="C336" s="703">
        <f>C334*(C332+C325)</f>
        <v>0</v>
      </c>
      <c r="D336" s="680" t="s">
        <v>1575</v>
      </c>
      <c r="E336" s="25"/>
      <c r="F336" s="209"/>
    </row>
    <row r="337" spans="1:6" x14ac:dyDescent="0.25">
      <c r="A337" s="680"/>
      <c r="B337" s="680" t="s">
        <v>1757</v>
      </c>
      <c r="C337" s="177" t="e">
        <f>C336/'Input Data'!E15</f>
        <v>#DIV/0!</v>
      </c>
      <c r="D337" s="107" t="s">
        <v>1061</v>
      </c>
      <c r="E337" s="25"/>
      <c r="F337" s="209"/>
    </row>
    <row r="338" spans="1:6" ht="15.75" thickBot="1" x14ac:dyDescent="0.3">
      <c r="A338" s="47"/>
      <c r="B338" s="47"/>
      <c r="C338" s="684"/>
      <c r="D338" s="47"/>
      <c r="E338" s="679"/>
      <c r="F338" s="202"/>
    </row>
    <row r="339" spans="1:6" ht="15.75" thickBot="1" x14ac:dyDescent="0.3">
      <c r="A339" s="47"/>
      <c r="B339" s="124" t="s">
        <v>1678</v>
      </c>
      <c r="C339" s="702" t="e">
        <f>C243</f>
        <v>#DIV/0!</v>
      </c>
      <c r="D339" s="680" t="s">
        <v>1575</v>
      </c>
      <c r="E339" s="47"/>
      <c r="F339" s="202"/>
    </row>
    <row r="340" spans="1:6" ht="15.75" thickBot="1" x14ac:dyDescent="0.3">
      <c r="A340" s="47"/>
      <c r="B340" s="47"/>
      <c r="C340" s="161"/>
      <c r="D340" s="47"/>
      <c r="E340" s="47"/>
      <c r="F340" s="202"/>
    </row>
    <row r="341" spans="1:6" ht="15.75" thickBot="1" x14ac:dyDescent="0.3">
      <c r="A341" s="47"/>
      <c r="B341" s="124" t="s">
        <v>1758</v>
      </c>
      <c r="C341" s="702">
        <f>C273+C314+C336</f>
        <v>0</v>
      </c>
      <c r="D341" s="680" t="s">
        <v>1575</v>
      </c>
      <c r="E341" s="47"/>
      <c r="F341" s="202"/>
    </row>
    <row r="342" spans="1:6" ht="15.75" thickBot="1" x14ac:dyDescent="0.3">
      <c r="A342" s="47"/>
      <c r="B342" s="47"/>
      <c r="C342" s="684"/>
      <c r="D342" s="47"/>
      <c r="E342" s="47"/>
      <c r="F342" s="202"/>
    </row>
    <row r="343" spans="1:6" ht="15.75" thickBot="1" x14ac:dyDescent="0.3">
      <c r="A343" s="47"/>
      <c r="B343" s="124" t="s">
        <v>1622</v>
      </c>
      <c r="C343" s="700" t="e">
        <f>C341+C339</f>
        <v>#DIV/0!</v>
      </c>
      <c r="D343" s="680" t="s">
        <v>1575</v>
      </c>
      <c r="E343" s="47"/>
      <c r="F343" s="202"/>
    </row>
    <row r="344" spans="1:6" x14ac:dyDescent="0.25">
      <c r="A344" s="47"/>
      <c r="B344" s="680" t="s">
        <v>1759</v>
      </c>
      <c r="C344" s="705" t="e">
        <f>C343/'Input Data'!E15</f>
        <v>#DIV/0!</v>
      </c>
      <c r="D344" s="107" t="s">
        <v>1061</v>
      </c>
      <c r="E344" s="47"/>
      <c r="F344" s="202"/>
    </row>
    <row r="345" spans="1:6" ht="15.75" thickBot="1" x14ac:dyDescent="0.3">
      <c r="A345" s="47"/>
      <c r="B345" s="47"/>
      <c r="C345" s="514"/>
      <c r="D345" s="47"/>
      <c r="E345" s="47"/>
      <c r="F345" s="202"/>
    </row>
    <row r="346" spans="1:6" ht="15.75" thickBot="1" x14ac:dyDescent="0.3">
      <c r="A346" s="679"/>
      <c r="B346" s="47" t="s">
        <v>1091</v>
      </c>
      <c r="C346" s="422">
        <f>'Input Data'!$E$314</f>
        <v>0</v>
      </c>
      <c r="D346" s="47" t="s">
        <v>1092</v>
      </c>
      <c r="E346" s="7" t="e">
        <f>C346*1000000/C348</f>
        <v>#DIV/0!</v>
      </c>
      <c r="F346" s="209" t="s">
        <v>1760</v>
      </c>
    </row>
    <row r="347" spans="1:6" ht="15.75" thickBot="1" x14ac:dyDescent="0.3">
      <c r="A347" s="679"/>
      <c r="B347" s="680" t="s">
        <v>678</v>
      </c>
      <c r="C347" s="698">
        <f>'Input Data'!$E$324</f>
        <v>0</v>
      </c>
      <c r="D347" s="680" t="s">
        <v>210</v>
      </c>
      <c r="E347" s="7"/>
      <c r="F347" s="209"/>
    </row>
    <row r="348" spans="1:6" ht="15.75" thickBot="1" x14ac:dyDescent="0.3">
      <c r="A348" s="679"/>
      <c r="B348" s="47" t="s">
        <v>1321</v>
      </c>
      <c r="C348" s="425">
        <f>'Input Data'!E15</f>
        <v>0</v>
      </c>
      <c r="D348" s="47" t="s">
        <v>367</v>
      </c>
      <c r="E348" s="679"/>
      <c r="F348" s="202"/>
    </row>
    <row r="349" spans="1:6" ht="15.75" thickBot="1" x14ac:dyDescent="0.3">
      <c r="A349" s="47"/>
      <c r="B349" s="189" t="s">
        <v>1330</v>
      </c>
      <c r="C349" s="425">
        <f>C346*1000000*3.6*C347/100</f>
        <v>0</v>
      </c>
      <c r="D349" s="680" t="s">
        <v>1575</v>
      </c>
      <c r="E349" s="679"/>
      <c r="F349" s="217" t="s">
        <v>1761</v>
      </c>
    </row>
    <row r="350" spans="1:6" x14ac:dyDescent="0.25">
      <c r="A350" s="47"/>
      <c r="B350" s="47" t="s">
        <v>1762</v>
      </c>
      <c r="C350" s="684" t="e">
        <f>C349/'Input Data'!E15</f>
        <v>#DIV/0!</v>
      </c>
      <c r="D350" s="107" t="s">
        <v>1061</v>
      </c>
      <c r="E350" s="679"/>
      <c r="F350" s="217"/>
    </row>
    <row r="351" spans="1:6" ht="15.75" thickBot="1" x14ac:dyDescent="0.3">
      <c r="A351" s="47"/>
      <c r="B351" s="47"/>
      <c r="C351" s="506"/>
      <c r="D351" s="47"/>
      <c r="E351" s="679"/>
      <c r="F351" s="202"/>
    </row>
    <row r="352" spans="1:6" ht="15.75" thickBot="1" x14ac:dyDescent="0.3">
      <c r="A352" s="47"/>
      <c r="B352" s="47" t="s">
        <v>1094</v>
      </c>
      <c r="C352" s="747">
        <f>'Input Data'!$E$315</f>
        <v>0</v>
      </c>
      <c r="D352" s="680" t="s">
        <v>367</v>
      </c>
      <c r="E352" s="8"/>
      <c r="F352" s="203"/>
    </row>
    <row r="353" spans="1:6" ht="15.75" thickBot="1" x14ac:dyDescent="0.3">
      <c r="A353" s="47"/>
      <c r="B353" s="47" t="s">
        <v>1763</v>
      </c>
      <c r="C353" s="422">
        <f>'Input Data'!$E$316</f>
        <v>0</v>
      </c>
      <c r="D353" s="47" t="s">
        <v>210</v>
      </c>
      <c r="E353" s="679"/>
      <c r="F353" s="209"/>
    </row>
    <row r="354" spans="1:6" ht="15.75" thickBot="1" x14ac:dyDescent="0.3">
      <c r="A354" s="47"/>
      <c r="B354" s="47" t="s">
        <v>1558</v>
      </c>
      <c r="C354" s="422">
        <f>'Input Data'!$E$317</f>
        <v>0</v>
      </c>
      <c r="D354" s="47" t="s">
        <v>210</v>
      </c>
      <c r="E354" s="679"/>
      <c r="F354" s="209"/>
    </row>
    <row r="355" spans="1:6" ht="15.75" thickBot="1" x14ac:dyDescent="0.3">
      <c r="A355" s="47"/>
      <c r="B355" s="47" t="s">
        <v>1559</v>
      </c>
      <c r="C355" s="422">
        <f>'Input Data'!$E$318</f>
        <v>0</v>
      </c>
      <c r="D355" s="47" t="s">
        <v>210</v>
      </c>
      <c r="E355" s="679"/>
      <c r="F355" s="202"/>
    </row>
    <row r="356" spans="1:6" ht="15.75" thickBot="1" x14ac:dyDescent="0.3">
      <c r="A356" s="47"/>
      <c r="B356" s="47" t="s">
        <v>1764</v>
      </c>
      <c r="C356" s="515">
        <f>18260-207.01*C353-182.6*C354-31.14*C355</f>
        <v>18260</v>
      </c>
      <c r="D356" s="680" t="s">
        <v>1561</v>
      </c>
      <c r="E356" s="679"/>
      <c r="F356" s="209" t="s">
        <v>1562</v>
      </c>
    </row>
    <row r="357" spans="1:6" ht="27.75" thickBot="1" x14ac:dyDescent="0.3">
      <c r="A357" s="47"/>
      <c r="B357" s="189" t="s">
        <v>1765</v>
      </c>
      <c r="C357" s="425">
        <f>C352*C356*79/92</f>
        <v>0</v>
      </c>
      <c r="D357" s="680" t="s">
        <v>1575</v>
      </c>
      <c r="E357" s="47"/>
      <c r="F357" s="686" t="s">
        <v>1766</v>
      </c>
    </row>
    <row r="358" spans="1:6" x14ac:dyDescent="0.25">
      <c r="A358" s="173"/>
      <c r="B358" s="47" t="s">
        <v>1765</v>
      </c>
      <c r="C358" s="414" t="e">
        <f>C357/'Input Data'!$E$15</f>
        <v>#DIV/0!</v>
      </c>
      <c r="D358" s="107" t="s">
        <v>1061</v>
      </c>
      <c r="E358" s="47"/>
      <c r="F358" s="209"/>
    </row>
    <row r="359" spans="1:6" ht="15.75" thickBot="1" x14ac:dyDescent="0.3">
      <c r="A359" s="173"/>
      <c r="B359" s="8"/>
      <c r="C359" s="394"/>
      <c r="D359" s="47"/>
      <c r="E359" s="47"/>
      <c r="F359" s="209"/>
    </row>
    <row r="360" spans="1:6" ht="15.75" thickBot="1" x14ac:dyDescent="0.3">
      <c r="A360" s="173"/>
      <c r="B360" s="124" t="s">
        <v>1767</v>
      </c>
      <c r="C360" s="700" t="e">
        <f>C343-C349-C357</f>
        <v>#DIV/0!</v>
      </c>
      <c r="D360" s="680" t="s">
        <v>1575</v>
      </c>
      <c r="E360" s="47"/>
      <c r="F360" s="202"/>
    </row>
    <row r="361" spans="1:6" x14ac:dyDescent="0.25">
      <c r="A361" s="173"/>
      <c r="B361" s="679"/>
      <c r="C361" s="390"/>
      <c r="D361" s="47"/>
      <c r="E361" s="47"/>
      <c r="F361" s="202"/>
    </row>
    <row r="362" spans="1:6" x14ac:dyDescent="0.25">
      <c r="A362" s="173"/>
      <c r="B362" s="679" t="s">
        <v>1768</v>
      </c>
      <c r="C362" s="504">
        <f>IF('Input Data'!E13=0,'Conversion factors'!B73,'P3 Agric'!C289)</f>
        <v>205.87</v>
      </c>
      <c r="D362" s="680" t="s">
        <v>1061</v>
      </c>
      <c r="E362" s="47"/>
      <c r="F362" s="203"/>
    </row>
    <row r="363" spans="1:6" x14ac:dyDescent="0.25">
      <c r="A363" s="173"/>
      <c r="B363" s="679" t="s">
        <v>1769</v>
      </c>
      <c r="C363" s="504" t="e">
        <f>C415</f>
        <v>#DIV/0!</v>
      </c>
      <c r="D363" s="680" t="s">
        <v>1061</v>
      </c>
      <c r="E363" s="47"/>
      <c r="F363" s="202"/>
    </row>
    <row r="364" spans="1:6" x14ac:dyDescent="0.25">
      <c r="A364" s="173"/>
      <c r="B364" s="679" t="s">
        <v>1770</v>
      </c>
      <c r="C364" s="504" t="e">
        <f>C360/'Input Data'!E15</f>
        <v>#DIV/0!</v>
      </c>
      <c r="D364" s="680" t="s">
        <v>1061</v>
      </c>
      <c r="E364" s="47"/>
      <c r="F364" s="202"/>
    </row>
    <row r="365" spans="1:6" ht="15.75" thickBot="1" x14ac:dyDescent="0.3">
      <c r="A365" s="173"/>
      <c r="B365" s="679"/>
      <c r="C365" s="504"/>
      <c r="D365" s="47"/>
      <c r="E365" s="47"/>
      <c r="F365" s="202"/>
    </row>
    <row r="366" spans="1:6" ht="15.75" thickBot="1" x14ac:dyDescent="0.3">
      <c r="A366" s="173"/>
      <c r="B366" s="699" t="s">
        <v>1771</v>
      </c>
      <c r="C366" s="707" t="e">
        <f>C362+C363+C364</f>
        <v>#DIV/0!</v>
      </c>
      <c r="D366" s="680" t="s">
        <v>1061</v>
      </c>
      <c r="E366" s="47"/>
      <c r="F366" s="202"/>
    </row>
    <row r="367" spans="1:6" ht="15.75" thickBot="1" x14ac:dyDescent="0.3">
      <c r="A367" s="173"/>
      <c r="B367" s="6"/>
      <c r="C367" s="394"/>
      <c r="D367" s="8"/>
      <c r="E367" s="679"/>
      <c r="F367" s="202"/>
    </row>
    <row r="368" spans="1:6" ht="15.75" thickBot="1" x14ac:dyDescent="0.3">
      <c r="A368" s="173"/>
      <c r="B368" s="682" t="s">
        <v>1102</v>
      </c>
      <c r="C368" s="747">
        <f>'Input Data'!E299</f>
        <v>0</v>
      </c>
      <c r="D368" s="683">
        <f>'Input Data'!$E$10</f>
        <v>0</v>
      </c>
      <c r="E368" s="26"/>
      <c r="F368" s="221"/>
    </row>
    <row r="369" spans="1:6" ht="15.75" thickBot="1" x14ac:dyDescent="0.3">
      <c r="A369" s="173"/>
      <c r="B369" s="47" t="s">
        <v>1336</v>
      </c>
      <c r="C369" s="747">
        <f>'Input Data'!E320</f>
        <v>0</v>
      </c>
      <c r="D369" s="683" t="s">
        <v>865</v>
      </c>
      <c r="E369" s="26"/>
      <c r="F369" s="221"/>
    </row>
    <row r="370" spans="1:6" ht="15.75" thickBot="1" x14ac:dyDescent="0.3">
      <c r="A370" s="173"/>
      <c r="B370" s="682" t="s">
        <v>1337</v>
      </c>
      <c r="C370" s="747">
        <f>'Input Data'!E321</f>
        <v>0</v>
      </c>
      <c r="D370" s="683" t="str">
        <f>'Input Data'!$E$10&amp;" / t"</f>
        <v>0 / t</v>
      </c>
      <c r="E370" s="26"/>
      <c r="F370" s="221"/>
    </row>
    <row r="371" spans="1:6" x14ac:dyDescent="0.25">
      <c r="A371" s="173"/>
      <c r="B371" s="682" t="s">
        <v>1102</v>
      </c>
      <c r="C371" s="127">
        <f>IF(C368=0,C369*C370,C368)</f>
        <v>0</v>
      </c>
      <c r="D371" s="683">
        <f>D368</f>
        <v>0</v>
      </c>
      <c r="E371" s="26"/>
      <c r="F371" s="221"/>
    </row>
    <row r="372" spans="1:6" ht="15.75" thickBot="1" x14ac:dyDescent="0.3">
      <c r="A372" s="173"/>
      <c r="B372" s="39"/>
      <c r="C372" s="127"/>
      <c r="D372" s="683"/>
      <c r="E372" s="26"/>
      <c r="F372" s="221"/>
    </row>
    <row r="373" spans="1:6" ht="15.75" thickBot="1" x14ac:dyDescent="0.3">
      <c r="A373" s="173"/>
      <c r="B373" s="39" t="s">
        <v>1108</v>
      </c>
      <c r="C373" s="747">
        <f>'Input Data'!E302</f>
        <v>0</v>
      </c>
      <c r="D373" s="683">
        <f>D368</f>
        <v>0</v>
      </c>
      <c r="E373" s="26"/>
      <c r="F373" s="221"/>
    </row>
    <row r="374" spans="1:6" ht="15.75" thickBot="1" x14ac:dyDescent="0.3">
      <c r="A374" s="173"/>
      <c r="B374" s="39" t="s">
        <v>1326</v>
      </c>
      <c r="C374" s="423">
        <f>'Input Data'!E16</f>
        <v>0</v>
      </c>
      <c r="D374" s="683" t="s">
        <v>367</v>
      </c>
      <c r="E374" s="26"/>
      <c r="F374" s="221"/>
    </row>
    <row r="375" spans="1:6" ht="15.75" thickBot="1" x14ac:dyDescent="0.3">
      <c r="A375" s="173"/>
      <c r="B375" s="679" t="s">
        <v>1110</v>
      </c>
      <c r="C375" s="747">
        <f>'Input Data'!E303</f>
        <v>0</v>
      </c>
      <c r="D375" s="683" t="str">
        <f>'Input Data'!$E$10&amp;" / t of sugar"</f>
        <v>0 / t of sugar</v>
      </c>
      <c r="E375" s="26"/>
      <c r="F375" s="221"/>
    </row>
    <row r="376" spans="1:6" x14ac:dyDescent="0.25">
      <c r="A376" s="173"/>
      <c r="B376" s="39" t="s">
        <v>1108</v>
      </c>
      <c r="C376" s="127">
        <f>IF(C373=0,C374*C375,C373)</f>
        <v>0</v>
      </c>
      <c r="D376" s="683">
        <f>D368</f>
        <v>0</v>
      </c>
      <c r="E376" s="26"/>
      <c r="F376" s="221"/>
    </row>
    <row r="377" spans="1:6" x14ac:dyDescent="0.25">
      <c r="A377" s="173"/>
      <c r="B377" s="682"/>
      <c r="C377" s="127"/>
      <c r="D377" s="91"/>
      <c r="E377" s="26"/>
      <c r="F377" s="221"/>
    </row>
    <row r="378" spans="1:6" ht="40.5" x14ac:dyDescent="0.25">
      <c r="A378" s="8"/>
      <c r="B378" s="682" t="s">
        <v>1642</v>
      </c>
      <c r="C378" s="387">
        <f>IF(C369=0,0,C371/(C371+C376)*100)</f>
        <v>0</v>
      </c>
      <c r="D378" s="91" t="s">
        <v>210</v>
      </c>
      <c r="E378" s="26"/>
      <c r="F378" s="686" t="s">
        <v>1643</v>
      </c>
    </row>
    <row r="379" spans="1:6" x14ac:dyDescent="0.25">
      <c r="A379" s="8"/>
      <c r="B379" s="47" t="s">
        <v>1772</v>
      </c>
      <c r="C379" s="684" t="e">
        <f>C378/100*C366</f>
        <v>#DIV/0!</v>
      </c>
      <c r="D379" s="680" t="s">
        <v>1061</v>
      </c>
      <c r="E379" s="111"/>
      <c r="F379" s="216"/>
    </row>
    <row r="380" spans="1:6" ht="15.75" thickBot="1" x14ac:dyDescent="0.3">
      <c r="A380" s="679"/>
      <c r="B380" s="36"/>
      <c r="C380" s="513"/>
      <c r="D380" s="47"/>
      <c r="E380" s="679"/>
      <c r="F380" s="202"/>
    </row>
    <row r="381" spans="1:6" ht="15.75" thickBot="1" x14ac:dyDescent="0.3">
      <c r="A381" s="679"/>
      <c r="B381" s="699" t="s">
        <v>1773</v>
      </c>
      <c r="C381" s="707" t="e">
        <f>C366-C379</f>
        <v>#DIV/0!</v>
      </c>
      <c r="D381" s="680" t="s">
        <v>1061</v>
      </c>
      <c r="E381" s="679"/>
      <c r="F381" s="202"/>
    </row>
    <row r="382" spans="1:6" x14ac:dyDescent="0.25">
      <c r="A382" s="679"/>
      <c r="B382" s="36"/>
      <c r="C382" s="506"/>
      <c r="D382" s="47"/>
      <c r="E382" s="679"/>
      <c r="F382" s="202"/>
    </row>
    <row r="383" spans="1:6" x14ac:dyDescent="0.25">
      <c r="A383" s="679"/>
      <c r="B383" s="47" t="s">
        <v>1321</v>
      </c>
      <c r="C383" s="425">
        <f>'Input Data'!E15</f>
        <v>0</v>
      </c>
      <c r="D383" s="47" t="s">
        <v>367</v>
      </c>
      <c r="E383" s="679"/>
      <c r="F383" s="202"/>
    </row>
    <row r="384" spans="1:6" x14ac:dyDescent="0.25">
      <c r="A384" s="679"/>
      <c r="B384" s="66" t="s">
        <v>1416</v>
      </c>
      <c r="C384" s="700">
        <f>'Input Data'!E16 + 'Input Data'!E17*0.791+ 'Input Data'!E18 + 'Input Data'!E19 + 'Input Data'!E20 + 'Input Data'!E21</f>
        <v>0</v>
      </c>
      <c r="D384" s="47" t="s">
        <v>367</v>
      </c>
      <c r="E384" s="103"/>
      <c r="F384" s="203"/>
    </row>
    <row r="385" spans="1:7" ht="15.75" thickBot="1" x14ac:dyDescent="0.3">
      <c r="A385" s="679"/>
      <c r="B385" s="47"/>
      <c r="C385" s="517"/>
      <c r="D385" s="47"/>
      <c r="E385" s="103"/>
      <c r="F385" s="203"/>
      <c r="G385" s="692"/>
    </row>
    <row r="386" spans="1:7" ht="15.75" thickBot="1" x14ac:dyDescent="0.3">
      <c r="A386" s="1040" t="s">
        <v>1774</v>
      </c>
      <c r="B386" s="805" t="s">
        <v>1673</v>
      </c>
      <c r="C386" s="806" t="e">
        <f>C381*C383/C384</f>
        <v>#DIV/0!</v>
      </c>
      <c r="D386" s="807" t="s">
        <v>1775</v>
      </c>
      <c r="E386" s="808" t="str">
        <f>IF(C383=0,"",IF(C386&lt;3000,"COMPLIANT","NOT COMPLIANT"))</f>
        <v/>
      </c>
      <c r="F386" s="809"/>
      <c r="G386" s="692"/>
    </row>
    <row r="387" spans="1:7" ht="15.75" thickBot="1" x14ac:dyDescent="0.3">
      <c r="A387" s="70"/>
      <c r="B387" s="33"/>
      <c r="C387" s="755"/>
      <c r="D387" s="71"/>
      <c r="E387" s="72"/>
      <c r="F387" s="631"/>
      <c r="G387" s="692"/>
    </row>
    <row r="388" spans="1:7" ht="15.75" thickBot="1" x14ac:dyDescent="0.3">
      <c r="A388" s="18" t="s">
        <v>287</v>
      </c>
      <c r="B388" s="19" t="s">
        <v>229</v>
      </c>
      <c r="C388" s="524" t="s">
        <v>232</v>
      </c>
      <c r="D388" s="19" t="s">
        <v>342</v>
      </c>
      <c r="E388" s="19" t="s">
        <v>1265</v>
      </c>
      <c r="F388" s="195" t="s">
        <v>344</v>
      </c>
      <c r="G388" s="692"/>
    </row>
    <row r="389" spans="1:7" ht="27.75" thickBot="1" x14ac:dyDescent="0.3">
      <c r="A389" s="6" t="s">
        <v>1550</v>
      </c>
      <c r="B389" s="6" t="s">
        <v>1776</v>
      </c>
      <c r="C389" s="525" t="s">
        <v>1777</v>
      </c>
      <c r="D389" s="1423" t="s">
        <v>1061</v>
      </c>
      <c r="E389" s="35"/>
      <c r="F389" s="686"/>
      <c r="G389" s="692"/>
    </row>
    <row r="390" spans="1:7" ht="15.75" thickBot="1" x14ac:dyDescent="0.3">
      <c r="A390" s="1006" t="s">
        <v>1778</v>
      </c>
      <c r="B390" s="42" t="s">
        <v>1779</v>
      </c>
      <c r="C390" s="492"/>
      <c r="D390" s="3"/>
      <c r="E390" s="3"/>
      <c r="F390" s="200"/>
      <c r="G390" s="692"/>
    </row>
    <row r="391" spans="1:7" ht="15.75" thickBot="1" x14ac:dyDescent="0.3">
      <c r="A391" s="98"/>
      <c r="B391" s="126"/>
      <c r="C391" s="526"/>
      <c r="D391" s="100"/>
      <c r="E391" s="37"/>
      <c r="F391" s="196"/>
      <c r="G391" s="692"/>
    </row>
    <row r="392" spans="1:7" ht="15.75" thickBot="1" x14ac:dyDescent="0.3">
      <c r="A392" s="36"/>
      <c r="B392" s="680" t="s">
        <v>1780</v>
      </c>
      <c r="C392" s="379">
        <f>'Input Data'!$E$218</f>
        <v>0</v>
      </c>
      <c r="D392" s="682" t="s">
        <v>390</v>
      </c>
      <c r="E392" s="74"/>
      <c r="F392" s="210"/>
      <c r="G392" s="692"/>
    </row>
    <row r="393" spans="1:7" x14ac:dyDescent="0.25">
      <c r="A393" s="36"/>
      <c r="B393" s="680" t="s">
        <v>1781</v>
      </c>
      <c r="C393" s="380">
        <f>'Input Data'!$E$12</f>
        <v>0</v>
      </c>
      <c r="D393" s="682" t="s">
        <v>367</v>
      </c>
      <c r="E393" s="90"/>
      <c r="F393" s="210"/>
      <c r="G393" s="692"/>
    </row>
    <row r="394" spans="1:7" x14ac:dyDescent="0.25">
      <c r="A394" s="36"/>
      <c r="B394" s="680" t="s">
        <v>1782</v>
      </c>
      <c r="C394" s="381" t="e">
        <f>C392/C393</f>
        <v>#DIV/0!</v>
      </c>
      <c r="D394" s="682" t="s">
        <v>1783</v>
      </c>
      <c r="E394" s="74"/>
      <c r="F394" s="232"/>
      <c r="G394" s="692"/>
    </row>
    <row r="395" spans="1:7" ht="15.75" thickBot="1" x14ac:dyDescent="0.3">
      <c r="A395" s="36"/>
      <c r="B395" s="680"/>
      <c r="C395" s="381"/>
      <c r="D395" s="682"/>
      <c r="E395" s="74"/>
      <c r="F395" s="232"/>
      <c r="G395" s="692"/>
    </row>
    <row r="396" spans="1:7" ht="27.75" thickBot="1" x14ac:dyDescent="0.3">
      <c r="A396" s="36"/>
      <c r="B396" s="680" t="s">
        <v>1784</v>
      </c>
      <c r="C396" s="382">
        <f>'Input Data'!$E$219</f>
        <v>0</v>
      </c>
      <c r="D396" s="91" t="s">
        <v>611</v>
      </c>
      <c r="E396" s="74"/>
      <c r="F396" s="218" t="s">
        <v>612</v>
      </c>
      <c r="G396" s="692"/>
    </row>
    <row r="397" spans="1:7" x14ac:dyDescent="0.25">
      <c r="A397" s="36"/>
      <c r="B397" s="260" t="s">
        <v>1785</v>
      </c>
      <c r="C397" s="381" t="e">
        <f>C394*C396</f>
        <v>#DIV/0!</v>
      </c>
      <c r="D397" s="682" t="s">
        <v>1061</v>
      </c>
      <c r="E397" s="74"/>
      <c r="F397" s="218"/>
      <c r="G397" s="692"/>
    </row>
    <row r="398" spans="1:7" s="692" customFormat="1" ht="27" x14ac:dyDescent="0.25">
      <c r="A398" s="36"/>
      <c r="B398" s="682" t="s">
        <v>1786</v>
      </c>
      <c r="C398" s="383">
        <f>'Conversion factors'!$B$5</f>
        <v>1.1599999999999999</v>
      </c>
      <c r="D398" s="91" t="s">
        <v>1787</v>
      </c>
      <c r="E398" s="74"/>
      <c r="F398" s="218" t="s">
        <v>1690</v>
      </c>
    </row>
    <row r="399" spans="1:7" s="692" customFormat="1" x14ac:dyDescent="0.25">
      <c r="A399" s="36"/>
      <c r="B399" s="36" t="s">
        <v>1776</v>
      </c>
      <c r="C399" s="381" t="e">
        <f>C397*C398</f>
        <v>#DIV/0!</v>
      </c>
      <c r="D399" s="682" t="s">
        <v>1061</v>
      </c>
      <c r="E399" s="74"/>
      <c r="F399" s="218"/>
    </row>
    <row r="400" spans="1:7" s="692" customFormat="1" ht="15.75" thickBot="1" x14ac:dyDescent="0.3">
      <c r="A400" s="36"/>
      <c r="B400" s="47"/>
      <c r="C400" s="381"/>
      <c r="D400" s="682"/>
      <c r="E400" s="74"/>
      <c r="F400" s="218"/>
    </row>
    <row r="401" spans="1:7" s="692" customFormat="1" ht="15.75" thickBot="1" x14ac:dyDescent="0.3">
      <c r="A401" s="36"/>
      <c r="B401" s="176" t="s">
        <v>1788</v>
      </c>
      <c r="C401" s="384"/>
      <c r="D401" s="91"/>
      <c r="E401" s="74"/>
      <c r="F401" s="232"/>
    </row>
    <row r="402" spans="1:7" s="692" customFormat="1" ht="15.75" thickBot="1" x14ac:dyDescent="0.3">
      <c r="A402" s="36"/>
      <c r="B402" s="122"/>
      <c r="C402" s="384"/>
      <c r="D402" s="91"/>
      <c r="E402" s="74"/>
      <c r="F402" s="232"/>
    </row>
    <row r="403" spans="1:7" s="692" customFormat="1" ht="15.75" thickBot="1" x14ac:dyDescent="0.3">
      <c r="A403" s="91"/>
      <c r="B403" s="680" t="s">
        <v>1789</v>
      </c>
      <c r="C403" s="382">
        <f>'Input Data'!$E$221</f>
        <v>0</v>
      </c>
      <c r="D403" s="682" t="s">
        <v>926</v>
      </c>
      <c r="E403" s="75"/>
      <c r="F403" s="218"/>
    </row>
    <row r="404" spans="1:7" s="692" customFormat="1" ht="15.75" thickBot="1" x14ac:dyDescent="0.3">
      <c r="A404" s="47"/>
      <c r="B404" s="680" t="s">
        <v>1790</v>
      </c>
      <c r="C404" s="382">
        <f>'Input Data'!$E$222</f>
        <v>0</v>
      </c>
      <c r="D404" s="682" t="s">
        <v>929</v>
      </c>
      <c r="E404" s="47"/>
      <c r="F404" s="209"/>
    </row>
    <row r="405" spans="1:7" s="692" customFormat="1" x14ac:dyDescent="0.25">
      <c r="A405" s="47"/>
      <c r="B405" s="680" t="s">
        <v>1791</v>
      </c>
      <c r="C405" s="381" t="e">
        <f>(C403*2)/C404</f>
        <v>#DIV/0!</v>
      </c>
      <c r="D405" s="682" t="s">
        <v>390</v>
      </c>
      <c r="E405" s="47"/>
      <c r="F405" s="209"/>
    </row>
    <row r="406" spans="1:7" s="692" customFormat="1" ht="15.75" thickBot="1" x14ac:dyDescent="0.3">
      <c r="A406" s="47"/>
      <c r="B406" s="680"/>
      <c r="C406" s="381"/>
      <c r="D406" s="682"/>
      <c r="E406" s="47"/>
      <c r="F406" s="209"/>
    </row>
    <row r="407" spans="1:7" s="692" customFormat="1" ht="27.75" thickBot="1" x14ac:dyDescent="0.3">
      <c r="A407" s="47"/>
      <c r="B407" s="680" t="s">
        <v>1784</v>
      </c>
      <c r="C407" s="382">
        <f>'Input Data'!$E$223</f>
        <v>0</v>
      </c>
      <c r="D407" s="91" t="s">
        <v>611</v>
      </c>
      <c r="E407" s="47"/>
      <c r="F407" s="218" t="s">
        <v>612</v>
      </c>
    </row>
    <row r="408" spans="1:7" s="692" customFormat="1" x14ac:dyDescent="0.25">
      <c r="A408" s="47"/>
      <c r="B408" s="680" t="s">
        <v>1792</v>
      </c>
      <c r="C408" s="381" t="e">
        <f>C405*C407</f>
        <v>#DIV/0!</v>
      </c>
      <c r="D408" s="682" t="s">
        <v>1575</v>
      </c>
      <c r="E408" s="47"/>
      <c r="F408" s="218"/>
    </row>
    <row r="409" spans="1:7" ht="15.75" thickBot="1" x14ac:dyDescent="0.3">
      <c r="A409" s="47"/>
      <c r="B409" s="680"/>
      <c r="C409" s="381"/>
      <c r="D409" s="682"/>
      <c r="E409" s="47"/>
      <c r="F409" s="218"/>
      <c r="G409" s="692"/>
    </row>
    <row r="410" spans="1:7" ht="15.75" thickBot="1" x14ac:dyDescent="0.3">
      <c r="A410" s="47"/>
      <c r="B410" s="680" t="s">
        <v>1793</v>
      </c>
      <c r="C410" s="382">
        <f>'Input Data'!$E$224</f>
        <v>0</v>
      </c>
      <c r="D410" s="682" t="s">
        <v>536</v>
      </c>
      <c r="E410" s="47"/>
      <c r="F410" s="209"/>
      <c r="G410" s="692"/>
    </row>
    <row r="411" spans="1:7" x14ac:dyDescent="0.25">
      <c r="A411" s="47"/>
      <c r="B411" s="260" t="s">
        <v>1785</v>
      </c>
      <c r="C411" s="92" t="e">
        <f>C408/C410</f>
        <v>#DIV/0!</v>
      </c>
      <c r="D411" s="682" t="s">
        <v>1061</v>
      </c>
      <c r="E411" s="47"/>
      <c r="F411" s="209"/>
      <c r="G411" s="692"/>
    </row>
    <row r="412" spans="1:7" ht="27" x14ac:dyDescent="0.25">
      <c r="A412" s="47"/>
      <c r="B412" s="682" t="s">
        <v>1786</v>
      </c>
      <c r="C412" s="93">
        <f>'Conversion factors'!$B$5</f>
        <v>1.1599999999999999</v>
      </c>
      <c r="D412" s="91" t="s">
        <v>1689</v>
      </c>
      <c r="E412" s="47"/>
      <c r="F412" s="218" t="s">
        <v>1690</v>
      </c>
      <c r="G412" s="692"/>
    </row>
    <row r="413" spans="1:7" x14ac:dyDescent="0.25">
      <c r="A413" s="47"/>
      <c r="B413" s="36" t="s">
        <v>1776</v>
      </c>
      <c r="C413" s="93" t="e">
        <f>C411*C412</f>
        <v>#DIV/0!</v>
      </c>
      <c r="D413" s="682" t="s">
        <v>1061</v>
      </c>
      <c r="E413" s="47"/>
      <c r="F413" s="218"/>
      <c r="G413" s="692"/>
    </row>
    <row r="414" spans="1:7" ht="15.75" thickBot="1" x14ac:dyDescent="0.3">
      <c r="A414" s="47"/>
      <c r="B414" s="36"/>
      <c r="C414" s="93"/>
      <c r="D414" s="682"/>
      <c r="E414" s="47"/>
      <c r="F414" s="218"/>
      <c r="G414" s="692"/>
    </row>
    <row r="415" spans="1:7" ht="15.75" thickBot="1" x14ac:dyDescent="0.3">
      <c r="A415" s="1040" t="s">
        <v>1794</v>
      </c>
      <c r="B415" s="805" t="s">
        <v>1776</v>
      </c>
      <c r="C415" s="811" t="e">
        <f>IF(C392=0, C413, C399)</f>
        <v>#DIV/0!</v>
      </c>
      <c r="D415" s="807" t="s">
        <v>1061</v>
      </c>
      <c r="E415" s="772" t="str">
        <f>IF(AND($C$6=0,$C$17=0),"",IF(C415&lt;=50,"COMPLIANT","NOT COMPLIANT"))</f>
        <v/>
      </c>
      <c r="F415" s="228"/>
      <c r="G415" s="692"/>
    </row>
    <row r="416" spans="1:7" ht="15.75" thickBot="1" x14ac:dyDescent="0.3">
      <c r="A416" s="70"/>
      <c r="B416" s="33"/>
      <c r="C416" s="755"/>
      <c r="D416" s="71"/>
      <c r="E416" s="72"/>
      <c r="F416" s="631"/>
      <c r="G416" s="692"/>
    </row>
    <row r="417" spans="1:7" ht="15.75" thickBot="1" x14ac:dyDescent="0.3">
      <c r="A417" s="778" t="s">
        <v>287</v>
      </c>
      <c r="B417" s="779" t="s">
        <v>229</v>
      </c>
      <c r="C417" s="780" t="s">
        <v>232</v>
      </c>
      <c r="D417" s="779" t="s">
        <v>342</v>
      </c>
      <c r="E417" s="779" t="s">
        <v>231</v>
      </c>
      <c r="F417" s="781" t="s">
        <v>344</v>
      </c>
      <c r="G417" s="692"/>
    </row>
    <row r="418" spans="1:7" ht="27.75" thickBot="1" x14ac:dyDescent="0.3">
      <c r="A418" s="782" t="s">
        <v>1550</v>
      </c>
      <c r="B418" s="782" t="s">
        <v>1795</v>
      </c>
      <c r="C418" s="783" t="s">
        <v>1796</v>
      </c>
      <c r="D418" s="784"/>
      <c r="E418" s="785"/>
      <c r="F418" s="786"/>
      <c r="G418" s="692"/>
    </row>
    <row r="419" spans="1:7" ht="15.75" thickBot="1" x14ac:dyDescent="0.3">
      <c r="A419" s="1006" t="s">
        <v>1797</v>
      </c>
      <c r="B419" s="765" t="s">
        <v>229</v>
      </c>
      <c r="C419" s="1170"/>
      <c r="D419" s="3"/>
      <c r="E419" s="3"/>
      <c r="F419" s="200"/>
      <c r="G419" s="692"/>
    </row>
    <row r="420" spans="1:7" x14ac:dyDescent="0.25">
      <c r="A420" s="788"/>
      <c r="B420" s="774" t="s">
        <v>1798</v>
      </c>
      <c r="C420" s="789">
        <f>C362*'Input Data'!E12</f>
        <v>0</v>
      </c>
      <c r="D420" s="790" t="s">
        <v>1575</v>
      </c>
      <c r="E420" s="787"/>
      <c r="F420" s="775"/>
      <c r="G420" s="692"/>
    </row>
    <row r="421" spans="1:7" x14ac:dyDescent="0.25">
      <c r="A421" s="774"/>
      <c r="B421" s="774" t="s">
        <v>1799</v>
      </c>
      <c r="C421" s="789" t="e">
        <f>C363*'Input Data'!E12</f>
        <v>#DIV/0!</v>
      </c>
      <c r="D421" s="790" t="s">
        <v>1575</v>
      </c>
      <c r="E421" s="787"/>
      <c r="F421" s="775"/>
      <c r="G421" s="692"/>
    </row>
    <row r="422" spans="1:7" ht="15.75" thickBot="1" x14ac:dyDescent="0.3">
      <c r="A422" s="791"/>
      <c r="B422" s="792" t="s">
        <v>1800</v>
      </c>
      <c r="C422" s="793" t="e">
        <f>C343</f>
        <v>#DIV/0!</v>
      </c>
      <c r="D422" s="794" t="s">
        <v>1575</v>
      </c>
      <c r="E422" s="795"/>
      <c r="F422" s="796"/>
      <c r="G422" s="692"/>
    </row>
    <row r="423" spans="1:7" ht="15.75" thickBot="1" x14ac:dyDescent="0.3">
      <c r="A423" s="791"/>
      <c r="B423" s="797" t="s">
        <v>1801</v>
      </c>
      <c r="C423" s="798" t="e">
        <f>SUM(C420:C422)</f>
        <v>#DIV/0!</v>
      </c>
      <c r="D423" s="794" t="s">
        <v>1575</v>
      </c>
      <c r="E423" s="795"/>
      <c r="F423" s="796"/>
      <c r="G423" s="692"/>
    </row>
    <row r="424" spans="1:7" x14ac:dyDescent="0.25">
      <c r="A424" s="775"/>
      <c r="B424" s="771"/>
      <c r="C424" s="799"/>
      <c r="D424" s="770"/>
      <c r="E424" s="800"/>
      <c r="F424" s="800"/>
      <c r="G424" s="692"/>
    </row>
    <row r="425" spans="1:7" x14ac:dyDescent="0.25">
      <c r="A425" s="775"/>
      <c r="B425" s="771" t="s">
        <v>1802</v>
      </c>
      <c r="C425" s="801">
        <f>'Input Data'!E17*1000*'Conversion factors'!B29</f>
        <v>0</v>
      </c>
      <c r="D425" s="787" t="s">
        <v>1575</v>
      </c>
      <c r="E425" s="777"/>
      <c r="F425" s="800"/>
      <c r="G425" s="692"/>
    </row>
    <row r="426" spans="1:7" ht="15.75" thickBot="1" x14ac:dyDescent="0.3">
      <c r="A426" s="775"/>
      <c r="B426" s="771" t="s">
        <v>1803</v>
      </c>
      <c r="C426" s="802">
        <f>C349</f>
        <v>0</v>
      </c>
      <c r="D426" s="787" t="s">
        <v>1575</v>
      </c>
      <c r="E426" s="800"/>
      <c r="F426" s="777"/>
      <c r="G426" s="692"/>
    </row>
    <row r="427" spans="1:7" ht="15.75" thickBot="1" x14ac:dyDescent="0.3">
      <c r="A427" s="775"/>
      <c r="B427" s="797" t="s">
        <v>1804</v>
      </c>
      <c r="C427" s="798">
        <f>SUM(C425:C426)</f>
        <v>0</v>
      </c>
      <c r="D427" s="787" t="s">
        <v>1575</v>
      </c>
      <c r="E427" s="800"/>
      <c r="F427" s="777"/>
      <c r="G427" s="692"/>
    </row>
    <row r="428" spans="1:7" ht="15.75" thickBot="1" x14ac:dyDescent="0.3">
      <c r="A428" s="775"/>
      <c r="B428" s="771"/>
      <c r="C428" s="803"/>
      <c r="D428" s="776"/>
      <c r="E428" s="800"/>
      <c r="F428" s="776"/>
      <c r="G428" s="692"/>
    </row>
    <row r="429" spans="1:7" ht="15.75" thickBot="1" x14ac:dyDescent="0.3">
      <c r="A429" s="804" t="s">
        <v>1805</v>
      </c>
      <c r="B429" s="805" t="s">
        <v>1806</v>
      </c>
      <c r="C429" s="806" t="e">
        <f>C427/C423</f>
        <v>#DIV/0!</v>
      </c>
      <c r="D429" s="807"/>
      <c r="E429" s="808" t="e">
        <f>IF(C423=0,"",IF(C429&gt;9,"COMPLIANT","NOT COMPLIANT"))</f>
        <v>#DIV/0!</v>
      </c>
      <c r="F429" s="809"/>
      <c r="G429" s="692"/>
    </row>
    <row r="431" spans="1:7" ht="15.75" x14ac:dyDescent="0.3">
      <c r="A431" s="4" t="s">
        <v>201</v>
      </c>
      <c r="B431" s="709"/>
      <c r="D431" s="692"/>
      <c r="E431" s="692"/>
      <c r="F431" s="692"/>
      <c r="G431" s="692"/>
    </row>
    <row r="432" spans="1:7" ht="15.75" x14ac:dyDescent="0.3">
      <c r="A432" s="4" t="s">
        <v>202</v>
      </c>
      <c r="B432" s="709"/>
      <c r="D432" s="692"/>
      <c r="E432" s="692"/>
      <c r="F432" s="692"/>
      <c r="G432" s="692"/>
    </row>
    <row r="435" spans="1:7" x14ac:dyDescent="0.25">
      <c r="A435" s="709"/>
      <c r="B435" s="709"/>
      <c r="C435" s="527"/>
      <c r="D435" s="709"/>
      <c r="E435" s="709"/>
      <c r="F435" s="709"/>
      <c r="G435" s="692"/>
    </row>
    <row r="436" spans="1:7" x14ac:dyDescent="0.25">
      <c r="A436" s="709"/>
      <c r="B436" s="709"/>
      <c r="C436" s="527"/>
      <c r="D436" s="709"/>
      <c r="E436" s="709"/>
      <c r="F436" s="709"/>
      <c r="G436" s="692"/>
    </row>
    <row r="437" spans="1:7" s="692" customFormat="1" x14ac:dyDescent="0.25">
      <c r="A437" s="709"/>
      <c r="B437" s="709"/>
      <c r="C437" s="527"/>
      <c r="D437" s="709"/>
      <c r="E437" s="709"/>
      <c r="F437" s="709"/>
    </row>
    <row r="438" spans="1:7" x14ac:dyDescent="0.25">
      <c r="A438" s="709"/>
      <c r="B438" s="709"/>
      <c r="C438" s="527"/>
      <c r="D438" s="709"/>
      <c r="E438" s="709"/>
      <c r="F438" s="709"/>
      <c r="G438" s="692"/>
    </row>
    <row r="439" spans="1:7" x14ac:dyDescent="0.25">
      <c r="A439" s="709"/>
      <c r="B439" s="709"/>
      <c r="C439" s="527"/>
      <c r="D439" s="709"/>
      <c r="E439" s="709"/>
      <c r="F439" s="709"/>
      <c r="G439" s="692"/>
    </row>
    <row r="440" spans="1:7" x14ac:dyDescent="0.25">
      <c r="A440" s="709"/>
      <c r="B440" s="709"/>
      <c r="C440" s="527"/>
      <c r="D440" s="709"/>
      <c r="E440" s="709"/>
      <c r="F440" s="709"/>
      <c r="G440" s="692"/>
    </row>
    <row r="441" spans="1:7" x14ac:dyDescent="0.25">
      <c r="A441" s="709"/>
      <c r="B441" s="709"/>
      <c r="C441" s="527"/>
      <c r="D441" s="709"/>
      <c r="E441" s="709"/>
      <c r="F441" s="709"/>
      <c r="G441" s="692"/>
    </row>
    <row r="442" spans="1:7" x14ac:dyDescent="0.25">
      <c r="A442" s="709"/>
      <c r="B442" s="709"/>
      <c r="C442" s="527"/>
      <c r="D442" s="709"/>
      <c r="E442" s="709"/>
      <c r="F442" s="709"/>
      <c r="G442" s="692"/>
    </row>
    <row r="443" spans="1:7" x14ac:dyDescent="0.25">
      <c r="A443" s="255"/>
      <c r="B443" s="340"/>
      <c r="C443" s="756"/>
      <c r="D443" s="349"/>
      <c r="E443" s="998"/>
      <c r="F443" s="349"/>
      <c r="G443" s="692"/>
    </row>
    <row r="444" spans="1:7" x14ac:dyDescent="0.25">
      <c r="A444" s="255"/>
      <c r="B444" s="255"/>
      <c r="C444" s="756"/>
      <c r="D444" s="340"/>
      <c r="E444" s="998"/>
      <c r="F444" s="349"/>
      <c r="G444" s="692"/>
    </row>
    <row r="445" spans="1:7" x14ac:dyDescent="0.25">
      <c r="A445" s="255"/>
      <c r="B445" s="193"/>
      <c r="C445" s="756"/>
      <c r="D445" s="340"/>
      <c r="E445" s="998"/>
      <c r="F445" s="349"/>
      <c r="G445" s="692"/>
    </row>
    <row r="446" spans="1:7" x14ac:dyDescent="0.25">
      <c r="A446" s="255"/>
      <c r="B446" s="757"/>
      <c r="C446" s="1042"/>
      <c r="D446" s="349"/>
      <c r="E446" s="998"/>
      <c r="F446" s="1043"/>
      <c r="G446" s="692"/>
    </row>
    <row r="447" spans="1:7" x14ac:dyDescent="0.25">
      <c r="A447" s="255"/>
      <c r="B447" s="757"/>
      <c r="C447" s="1042"/>
      <c r="D447" s="349"/>
      <c r="E447" s="998"/>
      <c r="F447" s="1043"/>
      <c r="G447" s="692"/>
    </row>
    <row r="448" spans="1:7" x14ac:dyDescent="0.25">
      <c r="A448" s="349"/>
      <c r="B448" s="193"/>
      <c r="C448" s="756"/>
      <c r="D448" s="340"/>
      <c r="E448" s="1044"/>
      <c r="F448" s="349"/>
      <c r="G448" s="692"/>
    </row>
    <row r="449" spans="1:6" x14ac:dyDescent="0.25">
      <c r="A449" s="193"/>
      <c r="B449" s="193"/>
      <c r="C449" s="756"/>
      <c r="D449" s="340"/>
      <c r="E449" s="193"/>
      <c r="F449" s="193"/>
    </row>
    <row r="450" spans="1:6" x14ac:dyDescent="0.25">
      <c r="A450" s="193"/>
      <c r="B450" s="193"/>
      <c r="C450" s="756"/>
      <c r="D450" s="340"/>
      <c r="E450" s="193"/>
      <c r="F450" s="193"/>
    </row>
    <row r="451" spans="1:6" x14ac:dyDescent="0.25">
      <c r="A451" s="193"/>
      <c r="B451" s="193"/>
      <c r="C451" s="756"/>
      <c r="D451" s="340"/>
      <c r="E451" s="193"/>
      <c r="F451" s="193"/>
    </row>
    <row r="452" spans="1:6" x14ac:dyDescent="0.25">
      <c r="A452" s="193"/>
      <c r="B452" s="193"/>
      <c r="C452" s="756"/>
      <c r="D452" s="349"/>
      <c r="E452" s="193"/>
      <c r="F452" s="349"/>
    </row>
    <row r="453" spans="1:6" x14ac:dyDescent="0.25">
      <c r="A453" s="193"/>
      <c r="B453" s="193"/>
      <c r="C453" s="756"/>
      <c r="D453" s="340"/>
      <c r="E453" s="193"/>
      <c r="F453" s="349"/>
    </row>
    <row r="454" spans="1:6" x14ac:dyDescent="0.25">
      <c r="A454" s="193"/>
      <c r="B454" s="193"/>
      <c r="C454" s="756"/>
      <c r="D454" s="340"/>
      <c r="E454" s="193"/>
      <c r="F454" s="349"/>
    </row>
    <row r="455" spans="1:6" x14ac:dyDescent="0.25">
      <c r="A455" s="193"/>
      <c r="B455" s="193"/>
      <c r="C455" s="756"/>
      <c r="D455" s="340"/>
      <c r="E455" s="193"/>
      <c r="F455" s="193"/>
    </row>
    <row r="456" spans="1:6" x14ac:dyDescent="0.25">
      <c r="A456" s="193"/>
      <c r="B456" s="255"/>
      <c r="C456" s="758"/>
      <c r="D456" s="340"/>
      <c r="E456" s="193"/>
      <c r="F456" s="193"/>
    </row>
    <row r="457" spans="1:6" x14ac:dyDescent="0.25">
      <c r="A457" s="193"/>
      <c r="B457" s="340"/>
      <c r="C457" s="758"/>
      <c r="D457" s="349"/>
      <c r="E457" s="193"/>
      <c r="F457" s="349"/>
    </row>
    <row r="458" spans="1:6" x14ac:dyDescent="0.25">
      <c r="A458" s="193"/>
      <c r="B458" s="255"/>
      <c r="C458" s="758"/>
      <c r="D458" s="340"/>
      <c r="E458" s="193"/>
      <c r="F458" s="349"/>
    </row>
    <row r="459" spans="1:6" x14ac:dyDescent="0.25">
      <c r="A459" s="193"/>
      <c r="B459" s="255"/>
      <c r="C459" s="758"/>
      <c r="D459" s="340"/>
      <c r="E459" s="193"/>
      <c r="F459" s="349"/>
    </row>
    <row r="460" spans="1:6" x14ac:dyDescent="0.25">
      <c r="A460" s="34"/>
      <c r="B460" s="255"/>
      <c r="C460" s="758"/>
      <c r="D460" s="340"/>
      <c r="E460" s="757"/>
      <c r="F460" s="255"/>
    </row>
    <row r="461" spans="1:6" x14ac:dyDescent="0.25">
      <c r="A461" s="12"/>
      <c r="B461" s="12"/>
      <c r="C461" s="752"/>
      <c r="D461" s="753"/>
      <c r="E461" s="753"/>
      <c r="F461" s="754"/>
    </row>
    <row r="462" spans="1:6" x14ac:dyDescent="0.25">
      <c r="A462" s="709"/>
      <c r="B462" s="709"/>
      <c r="C462" s="527"/>
      <c r="D462" s="709"/>
      <c r="E462" s="709"/>
      <c r="F462" s="709"/>
    </row>
    <row r="463" spans="1:6" x14ac:dyDescent="0.25">
      <c r="A463" s="709"/>
      <c r="B463" s="709"/>
      <c r="C463" s="527"/>
      <c r="D463" s="709"/>
      <c r="E463" s="709"/>
      <c r="F463" s="709"/>
    </row>
    <row r="464" spans="1:6" x14ac:dyDescent="0.25">
      <c r="A464" s="709"/>
      <c r="B464" s="709"/>
      <c r="C464" s="527"/>
      <c r="D464" s="709"/>
      <c r="E464" s="709"/>
      <c r="F464" s="709"/>
    </row>
    <row r="465" spans="1:6" x14ac:dyDescent="0.25">
      <c r="A465" s="709"/>
      <c r="B465" s="709"/>
      <c r="C465" s="527"/>
      <c r="D465" s="709"/>
      <c r="E465" s="709"/>
      <c r="F465" s="709"/>
    </row>
    <row r="466" spans="1:6" x14ac:dyDescent="0.25">
      <c r="A466" s="709"/>
      <c r="B466" s="709"/>
      <c r="C466" s="527"/>
      <c r="D466" s="709"/>
      <c r="E466" s="709"/>
      <c r="F466" s="709"/>
    </row>
    <row r="467" spans="1:6" x14ac:dyDescent="0.25">
      <c r="A467" s="709"/>
      <c r="B467" s="709"/>
      <c r="C467" s="527"/>
      <c r="D467" s="709"/>
      <c r="E467" s="709"/>
      <c r="F467" s="709"/>
    </row>
    <row r="468" spans="1:6" x14ac:dyDescent="0.25">
      <c r="A468" s="709"/>
      <c r="B468" s="709"/>
      <c r="C468" s="527"/>
      <c r="D468" s="709"/>
      <c r="E468" s="709"/>
      <c r="F468" s="709"/>
    </row>
    <row r="469" spans="1:6" x14ac:dyDescent="0.25">
      <c r="A469" s="709"/>
      <c r="B469" s="709"/>
      <c r="C469" s="527"/>
      <c r="D469" s="709"/>
      <c r="E469" s="709"/>
      <c r="F469" s="709"/>
    </row>
    <row r="470" spans="1:6" x14ac:dyDescent="0.25">
      <c r="A470" s="709"/>
      <c r="B470" s="709"/>
      <c r="C470" s="527"/>
      <c r="D470" s="709"/>
      <c r="E470" s="709"/>
      <c r="F470" s="709"/>
    </row>
    <row r="471" spans="1:6" x14ac:dyDescent="0.25">
      <c r="A471" s="709"/>
      <c r="B471" s="709"/>
      <c r="C471" s="527"/>
      <c r="D471" s="709"/>
      <c r="E471" s="709"/>
      <c r="F471" s="709"/>
    </row>
    <row r="472" spans="1:6" x14ac:dyDescent="0.25">
      <c r="A472" s="709"/>
      <c r="B472" s="709"/>
      <c r="C472" s="527"/>
      <c r="D472" s="709"/>
      <c r="E472" s="709"/>
      <c r="F472" s="709"/>
    </row>
    <row r="473" spans="1:6" x14ac:dyDescent="0.25">
      <c r="A473" s="709"/>
      <c r="B473" s="709"/>
      <c r="C473" s="527"/>
      <c r="D473" s="709"/>
      <c r="E473" s="709"/>
      <c r="F473" s="709"/>
    </row>
    <row r="474" spans="1:6" x14ac:dyDescent="0.25">
      <c r="A474" s="709"/>
      <c r="B474" s="709"/>
      <c r="C474" s="527"/>
      <c r="D474" s="709"/>
      <c r="E474" s="709"/>
      <c r="F474" s="709"/>
    </row>
    <row r="475" spans="1:6" x14ac:dyDescent="0.25">
      <c r="A475" s="709"/>
      <c r="B475" s="709"/>
      <c r="C475" s="527"/>
      <c r="D475" s="709"/>
      <c r="E475" s="709"/>
      <c r="F475" s="709"/>
    </row>
    <row r="476" spans="1:6" x14ac:dyDescent="0.25">
      <c r="A476" s="709"/>
      <c r="B476" s="709"/>
      <c r="C476" s="527"/>
      <c r="D476" s="709"/>
      <c r="E476" s="709"/>
      <c r="F476" s="709"/>
    </row>
    <row r="477" spans="1:6" x14ac:dyDescent="0.25">
      <c r="A477" s="709"/>
      <c r="B477" s="709"/>
      <c r="C477" s="527"/>
      <c r="D477" s="709"/>
      <c r="E477" s="709"/>
      <c r="F477" s="709"/>
    </row>
    <row r="478" spans="1:6" x14ac:dyDescent="0.25">
      <c r="A478" s="709"/>
      <c r="B478" s="709"/>
      <c r="C478" s="527"/>
      <c r="D478" s="709"/>
      <c r="E478" s="709"/>
      <c r="F478" s="709"/>
    </row>
    <row r="479" spans="1:6" x14ac:dyDescent="0.25">
      <c r="A479" s="709"/>
      <c r="B479" s="709"/>
      <c r="C479" s="527"/>
      <c r="D479" s="709"/>
      <c r="E479" s="709"/>
      <c r="F479" s="709"/>
    </row>
    <row r="480" spans="1:6" x14ac:dyDescent="0.25">
      <c r="A480" s="709"/>
      <c r="B480" s="709"/>
      <c r="C480" s="527"/>
      <c r="D480" s="709"/>
      <c r="E480" s="709"/>
      <c r="F480" s="709"/>
    </row>
    <row r="481" spans="1:6" x14ac:dyDescent="0.25">
      <c r="A481" s="709"/>
      <c r="B481" s="709"/>
      <c r="C481" s="527"/>
      <c r="D481" s="709"/>
      <c r="E481" s="709"/>
      <c r="F481" s="709"/>
    </row>
    <row r="482" spans="1:6" x14ac:dyDescent="0.25">
      <c r="A482" s="709"/>
      <c r="B482" s="709"/>
      <c r="C482" s="527"/>
      <c r="D482" s="709"/>
      <c r="E482" s="709"/>
      <c r="F482" s="709"/>
    </row>
    <row r="483" spans="1:6" x14ac:dyDescent="0.25">
      <c r="A483" s="709"/>
      <c r="B483" s="709"/>
      <c r="C483" s="527"/>
      <c r="D483" s="709"/>
      <c r="E483" s="709"/>
      <c r="F483" s="709"/>
    </row>
    <row r="484" spans="1:6" x14ac:dyDescent="0.25">
      <c r="A484" s="709"/>
      <c r="B484" s="709"/>
      <c r="C484" s="527"/>
      <c r="D484" s="709"/>
      <c r="E484" s="709"/>
      <c r="F484" s="709"/>
    </row>
    <row r="485" spans="1:6" x14ac:dyDescent="0.25">
      <c r="A485" s="709"/>
      <c r="B485" s="709"/>
      <c r="C485" s="527"/>
      <c r="D485" s="709"/>
      <c r="E485" s="709"/>
      <c r="F485" s="709"/>
    </row>
    <row r="486" spans="1:6" x14ac:dyDescent="0.25">
      <c r="A486" s="709"/>
      <c r="B486" s="709"/>
      <c r="C486" s="527"/>
      <c r="D486" s="709"/>
      <c r="E486" s="709"/>
      <c r="F486" s="709"/>
    </row>
    <row r="487" spans="1:6" x14ac:dyDescent="0.25">
      <c r="A487" s="709"/>
      <c r="B487" s="709"/>
      <c r="C487" s="527"/>
      <c r="D487" s="709"/>
      <c r="E487" s="709"/>
      <c r="F487" s="709"/>
    </row>
    <row r="488" spans="1:6" x14ac:dyDescent="0.25">
      <c r="A488" s="709"/>
      <c r="B488" s="709"/>
      <c r="C488" s="527"/>
      <c r="D488" s="709"/>
      <c r="E488" s="709"/>
      <c r="F488" s="709"/>
    </row>
    <row r="489" spans="1:6" x14ac:dyDescent="0.25">
      <c r="A489" s="709"/>
      <c r="B489" s="709"/>
      <c r="C489" s="527"/>
      <c r="D489" s="709"/>
      <c r="E489" s="709"/>
      <c r="F489" s="709"/>
    </row>
    <row r="490" spans="1:6" x14ac:dyDescent="0.25">
      <c r="A490" s="709"/>
      <c r="B490" s="709"/>
      <c r="C490" s="527"/>
      <c r="D490" s="709"/>
      <c r="E490" s="709"/>
      <c r="F490" s="709"/>
    </row>
    <row r="491" spans="1:6" x14ac:dyDescent="0.25">
      <c r="A491" s="709"/>
      <c r="B491" s="709"/>
      <c r="C491" s="527"/>
      <c r="D491" s="709"/>
      <c r="E491" s="709"/>
      <c r="F491" s="709"/>
    </row>
    <row r="492" spans="1:6" x14ac:dyDescent="0.25">
      <c r="A492" s="709"/>
      <c r="B492" s="709"/>
      <c r="C492" s="527"/>
      <c r="D492" s="709"/>
      <c r="E492" s="709"/>
      <c r="F492" s="709"/>
    </row>
    <row r="493" spans="1:6" x14ac:dyDescent="0.25">
      <c r="A493" s="709"/>
      <c r="B493" s="709"/>
      <c r="C493" s="527"/>
      <c r="D493" s="709"/>
      <c r="E493" s="709"/>
      <c r="F493" s="709"/>
    </row>
    <row r="494" spans="1:6" x14ac:dyDescent="0.25">
      <c r="A494" s="709"/>
      <c r="B494" s="709"/>
      <c r="C494" s="527"/>
      <c r="D494" s="709"/>
      <c r="E494" s="709"/>
      <c r="F494" s="709"/>
    </row>
    <row r="495" spans="1:6" x14ac:dyDescent="0.25">
      <c r="A495" s="709"/>
      <c r="B495" s="709"/>
      <c r="C495" s="527"/>
      <c r="D495" s="709"/>
      <c r="E495" s="709"/>
      <c r="F495" s="709"/>
    </row>
    <row r="496" spans="1:6" x14ac:dyDescent="0.25">
      <c r="A496" s="709"/>
      <c r="B496" s="709"/>
      <c r="C496" s="527"/>
      <c r="D496" s="709"/>
      <c r="E496" s="709"/>
      <c r="F496" s="709"/>
    </row>
    <row r="497" spans="1:6" x14ac:dyDescent="0.25">
      <c r="A497" s="709"/>
      <c r="B497" s="709"/>
      <c r="C497" s="527"/>
      <c r="D497" s="709"/>
      <c r="E497" s="709"/>
      <c r="F497" s="709"/>
    </row>
    <row r="498" spans="1:6" x14ac:dyDescent="0.25">
      <c r="A498" s="709"/>
      <c r="B498" s="709"/>
      <c r="C498" s="527"/>
      <c r="D498" s="709"/>
      <c r="E498" s="709"/>
      <c r="F498" s="709"/>
    </row>
    <row r="499" spans="1:6" x14ac:dyDescent="0.25">
      <c r="A499" s="709"/>
      <c r="B499" s="709"/>
      <c r="C499" s="527"/>
      <c r="D499" s="709"/>
      <c r="E499" s="709"/>
      <c r="F499" s="709"/>
    </row>
    <row r="500" spans="1:6" x14ac:dyDescent="0.25">
      <c r="A500" s="709"/>
      <c r="B500" s="709"/>
      <c r="C500" s="527"/>
      <c r="D500" s="709"/>
      <c r="E500" s="709"/>
      <c r="F500" s="709"/>
    </row>
    <row r="501" spans="1:6" x14ac:dyDescent="0.25">
      <c r="A501" s="709"/>
      <c r="B501" s="709"/>
      <c r="C501" s="527"/>
      <c r="D501" s="709"/>
      <c r="E501" s="709"/>
      <c r="F501" s="709"/>
    </row>
    <row r="502" spans="1:6" x14ac:dyDescent="0.25">
      <c r="A502" s="709"/>
      <c r="B502" s="709"/>
      <c r="C502" s="527"/>
      <c r="D502" s="709"/>
      <c r="E502" s="709"/>
      <c r="F502" s="709"/>
    </row>
    <row r="503" spans="1:6" x14ac:dyDescent="0.25">
      <c r="A503" s="709"/>
      <c r="B503" s="709"/>
      <c r="C503" s="527"/>
      <c r="D503" s="709"/>
      <c r="E503" s="709"/>
      <c r="F503" s="709"/>
    </row>
    <row r="504" spans="1:6" x14ac:dyDescent="0.25">
      <c r="A504" s="709"/>
      <c r="B504" s="709"/>
      <c r="C504" s="527"/>
      <c r="D504" s="709"/>
      <c r="E504" s="709"/>
      <c r="F504" s="709"/>
    </row>
    <row r="505" spans="1:6" x14ac:dyDescent="0.25">
      <c r="A505" s="709"/>
      <c r="B505" s="709"/>
      <c r="C505" s="527"/>
      <c r="D505" s="709"/>
      <c r="E505" s="709"/>
      <c r="F505" s="709"/>
    </row>
    <row r="506" spans="1:6" x14ac:dyDescent="0.25">
      <c r="A506" s="709"/>
      <c r="B506" s="709"/>
      <c r="C506" s="527"/>
      <c r="D506" s="709"/>
      <c r="E506" s="709"/>
      <c r="F506" s="709"/>
    </row>
    <row r="507" spans="1:6" x14ac:dyDescent="0.25">
      <c r="A507" s="709"/>
      <c r="B507" s="709"/>
      <c r="C507" s="527"/>
      <c r="D507" s="709"/>
      <c r="E507" s="709"/>
      <c r="F507" s="709"/>
    </row>
    <row r="508" spans="1:6" x14ac:dyDescent="0.25">
      <c r="A508" s="709"/>
      <c r="B508" s="709"/>
      <c r="C508" s="527"/>
      <c r="D508" s="709"/>
      <c r="E508" s="709"/>
      <c r="F508" s="709"/>
    </row>
    <row r="509" spans="1:6" x14ac:dyDescent="0.25">
      <c r="A509" s="709"/>
      <c r="B509" s="709"/>
      <c r="C509" s="527"/>
      <c r="D509" s="709"/>
      <c r="E509" s="709"/>
      <c r="F509" s="709"/>
    </row>
    <row r="510" spans="1:6" x14ac:dyDescent="0.25">
      <c r="A510" s="709"/>
      <c r="B510" s="709"/>
      <c r="C510" s="527"/>
      <c r="D510" s="709"/>
      <c r="E510" s="709"/>
      <c r="F510" s="709"/>
    </row>
    <row r="511" spans="1:6" x14ac:dyDescent="0.25">
      <c r="A511" s="709"/>
      <c r="B511" s="709"/>
      <c r="C511" s="527"/>
      <c r="D511" s="709"/>
      <c r="E511" s="709"/>
      <c r="F511" s="709"/>
    </row>
    <row r="512" spans="1:6" x14ac:dyDescent="0.25">
      <c r="A512" s="709"/>
      <c r="B512" s="709"/>
      <c r="C512" s="527"/>
      <c r="D512" s="709"/>
      <c r="E512" s="709"/>
      <c r="F512" s="709"/>
    </row>
    <row r="513" spans="1:6" x14ac:dyDescent="0.25">
      <c r="A513" s="709"/>
      <c r="B513" s="709"/>
      <c r="C513" s="527"/>
      <c r="D513" s="709"/>
      <c r="E513" s="709"/>
      <c r="F513" s="709"/>
    </row>
    <row r="514" spans="1:6" x14ac:dyDescent="0.25">
      <c r="A514" s="709"/>
      <c r="B514" s="709"/>
      <c r="C514" s="527"/>
      <c r="D514" s="709"/>
      <c r="E514" s="709"/>
      <c r="F514" s="709"/>
    </row>
    <row r="515" spans="1:6" x14ac:dyDescent="0.25">
      <c r="A515" s="709"/>
      <c r="B515" s="709"/>
      <c r="C515" s="527"/>
      <c r="D515" s="709"/>
      <c r="E515" s="709"/>
      <c r="F515" s="709"/>
    </row>
    <row r="516" spans="1:6" x14ac:dyDescent="0.25">
      <c r="A516" s="709"/>
      <c r="B516" s="709"/>
      <c r="C516" s="527"/>
      <c r="D516" s="709"/>
      <c r="E516" s="709"/>
      <c r="F516" s="709"/>
    </row>
    <row r="517" spans="1:6" x14ac:dyDescent="0.25">
      <c r="A517" s="709"/>
      <c r="B517" s="709"/>
      <c r="C517" s="527"/>
      <c r="D517" s="709"/>
      <c r="E517" s="709"/>
      <c r="F517" s="709"/>
    </row>
    <row r="518" spans="1:6" x14ac:dyDescent="0.25">
      <c r="A518" s="709"/>
      <c r="B518" s="709"/>
      <c r="C518" s="527"/>
      <c r="D518" s="709"/>
      <c r="E518" s="709"/>
      <c r="F518" s="709"/>
    </row>
    <row r="519" spans="1:6" x14ac:dyDescent="0.25">
      <c r="A519" s="709"/>
      <c r="B519" s="709"/>
      <c r="C519" s="527"/>
      <c r="D519" s="709"/>
      <c r="E519" s="709"/>
      <c r="F519" s="709"/>
    </row>
    <row r="520" spans="1:6" x14ac:dyDescent="0.25">
      <c r="A520" s="709"/>
      <c r="B520" s="709"/>
      <c r="C520" s="527"/>
      <c r="D520" s="709"/>
      <c r="E520" s="709"/>
      <c r="F520" s="709"/>
    </row>
    <row r="521" spans="1:6" x14ac:dyDescent="0.25">
      <c r="A521" s="709"/>
      <c r="B521" s="709"/>
      <c r="C521" s="527"/>
      <c r="D521" s="709"/>
      <c r="E521" s="709"/>
      <c r="F521" s="709"/>
    </row>
    <row r="522" spans="1:6" x14ac:dyDescent="0.25">
      <c r="A522" s="709"/>
      <c r="B522" s="709"/>
      <c r="C522" s="527"/>
      <c r="D522" s="709"/>
      <c r="E522" s="709"/>
      <c r="F522" s="709"/>
    </row>
    <row r="523" spans="1:6" x14ac:dyDescent="0.25">
      <c r="A523" s="709"/>
      <c r="B523" s="709"/>
      <c r="C523" s="527"/>
      <c r="D523" s="709"/>
      <c r="E523" s="709"/>
      <c r="F523" s="709"/>
    </row>
    <row r="524" spans="1:6" x14ac:dyDescent="0.25">
      <c r="A524" s="709"/>
      <c r="B524" s="709"/>
      <c r="C524" s="527"/>
      <c r="D524" s="709"/>
      <c r="E524" s="709"/>
      <c r="F524" s="709"/>
    </row>
    <row r="525" spans="1:6" x14ac:dyDescent="0.25">
      <c r="A525" s="709"/>
      <c r="B525" s="709"/>
      <c r="C525" s="527"/>
      <c r="D525" s="709"/>
      <c r="E525" s="709"/>
      <c r="F525" s="709"/>
    </row>
    <row r="526" spans="1:6" x14ac:dyDescent="0.25">
      <c r="A526" s="709"/>
      <c r="B526" s="709"/>
      <c r="C526" s="527"/>
      <c r="D526" s="709"/>
      <c r="E526" s="709"/>
      <c r="F526" s="709"/>
    </row>
    <row r="527" spans="1:6" x14ac:dyDescent="0.25">
      <c r="A527" s="709"/>
      <c r="B527" s="709"/>
      <c r="C527" s="527"/>
      <c r="D527" s="709"/>
      <c r="E527" s="709"/>
      <c r="F527" s="709"/>
    </row>
    <row r="528" spans="1:6" x14ac:dyDescent="0.25">
      <c r="A528" s="709"/>
      <c r="B528" s="709"/>
      <c r="C528" s="527"/>
      <c r="D528" s="709"/>
      <c r="E528" s="709"/>
      <c r="F528" s="709"/>
    </row>
    <row r="529" spans="1:6" x14ac:dyDescent="0.25">
      <c r="A529" s="709"/>
      <c r="B529" s="709"/>
      <c r="C529" s="527"/>
      <c r="D529" s="709"/>
      <c r="E529" s="709"/>
      <c r="F529" s="709"/>
    </row>
    <row r="530" spans="1:6" x14ac:dyDescent="0.25">
      <c r="A530" s="709"/>
      <c r="B530" s="709"/>
      <c r="C530" s="527"/>
      <c r="D530" s="709"/>
      <c r="E530" s="709"/>
      <c r="F530" s="709"/>
    </row>
    <row r="531" spans="1:6" x14ac:dyDescent="0.25">
      <c r="A531" s="709"/>
      <c r="B531" s="709"/>
      <c r="C531" s="527"/>
      <c r="D531" s="709"/>
      <c r="E531" s="709"/>
      <c r="F531" s="709"/>
    </row>
    <row r="532" spans="1:6" x14ac:dyDescent="0.25">
      <c r="A532" s="709"/>
      <c r="B532" s="709"/>
      <c r="C532" s="527"/>
      <c r="D532" s="709"/>
      <c r="E532" s="709"/>
      <c r="F532" s="709"/>
    </row>
    <row r="533" spans="1:6" x14ac:dyDescent="0.25">
      <c r="A533" s="709"/>
      <c r="B533" s="709"/>
      <c r="C533" s="527"/>
      <c r="D533" s="709"/>
      <c r="E533" s="709"/>
      <c r="F533" s="709"/>
    </row>
    <row r="534" spans="1:6" x14ac:dyDescent="0.25">
      <c r="A534" s="709"/>
      <c r="B534" s="709"/>
      <c r="C534" s="527"/>
      <c r="D534" s="709"/>
      <c r="E534" s="709"/>
      <c r="F534" s="709"/>
    </row>
    <row r="535" spans="1:6" x14ac:dyDescent="0.25">
      <c r="A535" s="709"/>
      <c r="B535" s="709"/>
      <c r="C535" s="527"/>
      <c r="D535" s="709"/>
      <c r="E535" s="709"/>
      <c r="F535" s="709"/>
    </row>
    <row r="536" spans="1:6" x14ac:dyDescent="0.25">
      <c r="A536" s="709"/>
      <c r="B536" s="709"/>
      <c r="C536" s="527"/>
      <c r="D536" s="709"/>
      <c r="E536" s="709"/>
      <c r="F536" s="709"/>
    </row>
    <row r="537" spans="1:6" x14ac:dyDescent="0.25">
      <c r="A537" s="709"/>
      <c r="B537" s="709"/>
      <c r="C537" s="527"/>
      <c r="D537" s="709"/>
      <c r="E537" s="709"/>
      <c r="F537" s="709"/>
    </row>
    <row r="538" spans="1:6" x14ac:dyDescent="0.25">
      <c r="A538" s="709"/>
      <c r="B538" s="709"/>
      <c r="C538" s="527"/>
      <c r="D538" s="709"/>
      <c r="E538" s="709"/>
      <c r="F538" s="709"/>
    </row>
    <row r="539" spans="1:6" x14ac:dyDescent="0.25">
      <c r="A539" s="709"/>
      <c r="B539" s="709"/>
      <c r="C539" s="527"/>
      <c r="D539" s="709"/>
      <c r="E539" s="709"/>
      <c r="F539" s="709"/>
    </row>
    <row r="540" spans="1:6" x14ac:dyDescent="0.25">
      <c r="A540" s="709"/>
      <c r="B540" s="709"/>
      <c r="C540" s="527"/>
      <c r="D540" s="709"/>
      <c r="E540" s="709"/>
      <c r="F540" s="709"/>
    </row>
    <row r="541" spans="1:6" x14ac:dyDescent="0.25">
      <c r="A541" s="709"/>
      <c r="B541" s="709"/>
      <c r="C541" s="527"/>
      <c r="D541" s="709"/>
      <c r="E541" s="709"/>
      <c r="F541" s="709"/>
    </row>
    <row r="542" spans="1:6" x14ac:dyDescent="0.25">
      <c r="A542" s="709"/>
      <c r="B542" s="709"/>
      <c r="C542" s="527"/>
      <c r="D542" s="709"/>
      <c r="E542" s="709"/>
      <c r="F542" s="709"/>
    </row>
    <row r="543" spans="1:6" x14ac:dyDescent="0.25">
      <c r="A543" s="709"/>
      <c r="B543" s="709"/>
      <c r="C543" s="527"/>
      <c r="D543" s="709"/>
      <c r="E543" s="709"/>
      <c r="F543" s="709"/>
    </row>
    <row r="544" spans="1:6" x14ac:dyDescent="0.25">
      <c r="A544" s="709"/>
      <c r="B544" s="709"/>
      <c r="C544" s="527"/>
      <c r="D544" s="709"/>
      <c r="E544" s="709"/>
      <c r="F544" s="709"/>
    </row>
    <row r="545" spans="1:6" x14ac:dyDescent="0.25">
      <c r="A545" s="709"/>
      <c r="B545" s="709"/>
      <c r="C545" s="527"/>
      <c r="D545" s="709"/>
      <c r="E545" s="709"/>
      <c r="F545" s="709"/>
    </row>
    <row r="546" spans="1:6" x14ac:dyDescent="0.25">
      <c r="A546" s="709"/>
      <c r="B546" s="709"/>
      <c r="C546" s="527"/>
      <c r="D546" s="709"/>
      <c r="E546" s="709"/>
      <c r="F546" s="709"/>
    </row>
    <row r="547" spans="1:6" x14ac:dyDescent="0.25">
      <c r="A547" s="709"/>
      <c r="B547" s="709"/>
      <c r="C547" s="527"/>
      <c r="D547" s="709"/>
      <c r="E547" s="709"/>
      <c r="F547" s="709"/>
    </row>
    <row r="548" spans="1:6" x14ac:dyDescent="0.25">
      <c r="A548" s="709"/>
      <c r="B548" s="709"/>
      <c r="C548" s="527"/>
      <c r="D548" s="709"/>
      <c r="E548" s="709"/>
      <c r="F548" s="709"/>
    </row>
    <row r="549" spans="1:6" x14ac:dyDescent="0.25">
      <c r="A549" s="709"/>
      <c r="B549" s="709"/>
      <c r="C549" s="527"/>
      <c r="D549" s="709"/>
      <c r="E549" s="709"/>
      <c r="F549" s="709"/>
    </row>
    <row r="550" spans="1:6" x14ac:dyDescent="0.25">
      <c r="A550" s="709"/>
      <c r="B550" s="709"/>
      <c r="C550" s="527"/>
      <c r="D550" s="709"/>
      <c r="E550" s="709"/>
      <c r="F550" s="709"/>
    </row>
    <row r="551" spans="1:6" x14ac:dyDescent="0.25">
      <c r="A551" s="709"/>
      <c r="B551" s="709"/>
      <c r="C551" s="527"/>
      <c r="D551" s="709"/>
      <c r="E551" s="709"/>
      <c r="F551" s="709"/>
    </row>
    <row r="552" spans="1:6" x14ac:dyDescent="0.25">
      <c r="A552" s="709"/>
      <c r="B552" s="709"/>
      <c r="C552" s="527"/>
      <c r="D552" s="709"/>
      <c r="E552" s="709"/>
      <c r="F552" s="709"/>
    </row>
    <row r="553" spans="1:6" x14ac:dyDescent="0.25">
      <c r="A553" s="709"/>
      <c r="B553" s="709"/>
      <c r="C553" s="527"/>
      <c r="D553" s="709"/>
      <c r="E553" s="709"/>
      <c r="F553" s="709"/>
    </row>
    <row r="554" spans="1:6" x14ac:dyDescent="0.25">
      <c r="A554" s="709"/>
      <c r="B554" s="709"/>
      <c r="C554" s="527"/>
      <c r="D554" s="709"/>
      <c r="E554" s="709"/>
      <c r="F554" s="709"/>
    </row>
    <row r="555" spans="1:6" x14ac:dyDescent="0.25">
      <c r="A555" s="709"/>
      <c r="B555" s="709"/>
      <c r="C555" s="527"/>
      <c r="D555" s="709"/>
      <c r="E555" s="709"/>
      <c r="F555" s="709"/>
    </row>
    <row r="556" spans="1:6" x14ac:dyDescent="0.25">
      <c r="A556" s="709"/>
      <c r="B556" s="709"/>
      <c r="C556" s="527"/>
      <c r="D556" s="709"/>
      <c r="E556" s="709"/>
      <c r="F556" s="709"/>
    </row>
    <row r="557" spans="1:6" x14ac:dyDescent="0.25">
      <c r="A557" s="709"/>
      <c r="B557" s="709"/>
      <c r="C557" s="527"/>
      <c r="D557" s="709"/>
      <c r="E557" s="709"/>
      <c r="F557" s="709"/>
    </row>
    <row r="558" spans="1:6" x14ac:dyDescent="0.25">
      <c r="A558" s="709"/>
      <c r="B558" s="709"/>
      <c r="C558" s="527"/>
      <c r="D558" s="709"/>
      <c r="E558" s="709"/>
      <c r="F558" s="709"/>
    </row>
    <row r="559" spans="1:6" x14ac:dyDescent="0.25">
      <c r="A559" s="709"/>
      <c r="B559" s="709"/>
      <c r="C559" s="527"/>
      <c r="D559" s="709"/>
      <c r="E559" s="709"/>
      <c r="F559" s="709"/>
    </row>
    <row r="560" spans="1:6" x14ac:dyDescent="0.25">
      <c r="A560" s="709"/>
      <c r="B560" s="709"/>
      <c r="C560" s="527"/>
      <c r="D560" s="709"/>
      <c r="E560" s="709"/>
      <c r="F560" s="709"/>
    </row>
    <row r="561" spans="1:6" x14ac:dyDescent="0.25">
      <c r="A561" s="709"/>
      <c r="B561" s="709"/>
      <c r="C561" s="527"/>
      <c r="D561" s="709"/>
      <c r="E561" s="709"/>
      <c r="F561" s="709"/>
    </row>
    <row r="562" spans="1:6" x14ac:dyDescent="0.25">
      <c r="A562" s="709"/>
      <c r="B562" s="709"/>
      <c r="C562" s="527"/>
      <c r="D562" s="709"/>
      <c r="E562" s="709"/>
      <c r="F562" s="709"/>
    </row>
    <row r="563" spans="1:6" x14ac:dyDescent="0.25">
      <c r="A563" s="709"/>
      <c r="B563" s="709"/>
      <c r="C563" s="527"/>
      <c r="D563" s="709"/>
      <c r="E563" s="709"/>
      <c r="F563" s="709"/>
    </row>
    <row r="564" spans="1:6" x14ac:dyDescent="0.25">
      <c r="A564" s="709"/>
      <c r="B564" s="709"/>
      <c r="C564" s="527"/>
      <c r="D564" s="709"/>
      <c r="E564" s="709"/>
      <c r="F564" s="709"/>
    </row>
    <row r="565" spans="1:6" x14ac:dyDescent="0.25">
      <c r="A565" s="709"/>
      <c r="B565" s="709"/>
      <c r="C565" s="527"/>
      <c r="D565" s="709"/>
      <c r="E565" s="709"/>
      <c r="F565" s="709"/>
    </row>
    <row r="566" spans="1:6" x14ac:dyDescent="0.25">
      <c r="A566" s="709"/>
      <c r="B566" s="709"/>
      <c r="C566" s="527"/>
      <c r="D566" s="709"/>
      <c r="E566" s="709"/>
      <c r="F566" s="709"/>
    </row>
    <row r="567" spans="1:6" x14ac:dyDescent="0.25">
      <c r="A567" s="709"/>
      <c r="B567" s="709"/>
      <c r="C567" s="527"/>
      <c r="D567" s="709"/>
      <c r="E567" s="709"/>
      <c r="F567" s="709"/>
    </row>
    <row r="568" spans="1:6" x14ac:dyDescent="0.25">
      <c r="A568" s="709"/>
      <c r="B568" s="709"/>
      <c r="C568" s="527"/>
      <c r="D568" s="709"/>
      <c r="E568" s="709"/>
      <c r="F568" s="709"/>
    </row>
    <row r="569" spans="1:6" x14ac:dyDescent="0.25">
      <c r="A569" s="709"/>
      <c r="B569" s="709"/>
      <c r="C569" s="527"/>
      <c r="D569" s="709"/>
      <c r="E569" s="709"/>
      <c r="F569" s="709"/>
    </row>
    <row r="570" spans="1:6" x14ac:dyDescent="0.25">
      <c r="A570" s="709"/>
      <c r="B570" s="709"/>
      <c r="C570" s="527"/>
      <c r="D570" s="709"/>
      <c r="E570" s="709"/>
      <c r="F570" s="709"/>
    </row>
    <row r="571" spans="1:6" x14ac:dyDescent="0.25">
      <c r="A571" s="709"/>
      <c r="B571" s="709"/>
      <c r="C571" s="527"/>
      <c r="D571" s="709"/>
      <c r="E571" s="709"/>
      <c r="F571" s="709"/>
    </row>
    <row r="572" spans="1:6" x14ac:dyDescent="0.25">
      <c r="A572" s="709"/>
      <c r="B572" s="709"/>
      <c r="C572" s="527"/>
      <c r="D572" s="709"/>
      <c r="E572" s="709"/>
      <c r="F572" s="709"/>
    </row>
    <row r="573" spans="1:6" x14ac:dyDescent="0.25">
      <c r="A573" s="709"/>
      <c r="B573" s="709"/>
      <c r="C573" s="527"/>
      <c r="D573" s="709"/>
      <c r="E573" s="709"/>
      <c r="F573" s="709"/>
    </row>
    <row r="574" spans="1:6" x14ac:dyDescent="0.25">
      <c r="A574" s="709"/>
      <c r="B574" s="709"/>
      <c r="C574" s="527"/>
      <c r="D574" s="709"/>
      <c r="E574" s="709"/>
      <c r="F574" s="709"/>
    </row>
    <row r="575" spans="1:6" x14ac:dyDescent="0.25">
      <c r="A575" s="709"/>
      <c r="B575" s="709"/>
      <c r="C575" s="527"/>
      <c r="D575" s="709"/>
      <c r="E575" s="709"/>
      <c r="F575" s="709"/>
    </row>
    <row r="576" spans="1:6" x14ac:dyDescent="0.25">
      <c r="A576" s="709"/>
      <c r="B576" s="709"/>
      <c r="C576" s="527"/>
      <c r="D576" s="709"/>
      <c r="E576" s="709"/>
      <c r="F576" s="709"/>
    </row>
    <row r="577" spans="1:6" x14ac:dyDescent="0.25">
      <c r="A577" s="709"/>
      <c r="B577" s="709"/>
      <c r="C577" s="527"/>
      <c r="D577" s="709"/>
      <c r="E577" s="709"/>
      <c r="F577" s="709"/>
    </row>
    <row r="578" spans="1:6" x14ac:dyDescent="0.25">
      <c r="A578" s="709"/>
      <c r="B578" s="709"/>
      <c r="C578" s="527"/>
      <c r="D578" s="709"/>
      <c r="E578" s="709"/>
      <c r="F578" s="709"/>
    </row>
    <row r="579" spans="1:6" x14ac:dyDescent="0.25">
      <c r="A579" s="709"/>
      <c r="B579" s="709"/>
      <c r="C579" s="527"/>
      <c r="D579" s="709"/>
      <c r="E579" s="709"/>
      <c r="F579" s="709"/>
    </row>
    <row r="580" spans="1:6" x14ac:dyDescent="0.25">
      <c r="A580" s="709"/>
      <c r="B580" s="709"/>
      <c r="C580" s="527"/>
      <c r="D580" s="709"/>
      <c r="E580" s="709"/>
      <c r="F580" s="709"/>
    </row>
    <row r="581" spans="1:6" x14ac:dyDescent="0.25">
      <c r="A581" s="709"/>
      <c r="B581" s="709"/>
      <c r="C581" s="527"/>
      <c r="D581" s="709"/>
      <c r="E581" s="709"/>
      <c r="F581" s="709"/>
    </row>
    <row r="582" spans="1:6" x14ac:dyDescent="0.25">
      <c r="A582" s="709"/>
      <c r="B582" s="709"/>
      <c r="C582" s="527"/>
      <c r="D582" s="709"/>
      <c r="E582" s="709"/>
      <c r="F582" s="709"/>
    </row>
    <row r="583" spans="1:6" x14ac:dyDescent="0.25">
      <c r="A583" s="709"/>
      <c r="B583" s="709"/>
      <c r="C583" s="527"/>
      <c r="D583" s="709"/>
      <c r="E583" s="709"/>
      <c r="F583" s="709"/>
    </row>
    <row r="584" spans="1:6" x14ac:dyDescent="0.25">
      <c r="A584" s="709"/>
      <c r="B584" s="709"/>
      <c r="C584" s="527"/>
      <c r="D584" s="709"/>
      <c r="E584" s="709"/>
      <c r="F584" s="709"/>
    </row>
    <row r="585" spans="1:6" x14ac:dyDescent="0.25">
      <c r="A585" s="709"/>
      <c r="B585" s="709"/>
      <c r="C585" s="527"/>
      <c r="D585" s="709"/>
      <c r="E585" s="709"/>
      <c r="F585" s="709"/>
    </row>
    <row r="586" spans="1:6" x14ac:dyDescent="0.25">
      <c r="A586" s="709"/>
      <c r="B586" s="709"/>
      <c r="C586" s="527"/>
      <c r="D586" s="709"/>
      <c r="E586" s="709"/>
      <c r="F586" s="709"/>
    </row>
    <row r="587" spans="1:6" x14ac:dyDescent="0.25">
      <c r="A587" s="709"/>
      <c r="B587" s="709"/>
      <c r="C587" s="527"/>
      <c r="D587" s="709"/>
      <c r="E587" s="709"/>
      <c r="F587" s="709"/>
    </row>
    <row r="588" spans="1:6" x14ac:dyDescent="0.25">
      <c r="A588" s="709"/>
      <c r="B588" s="709"/>
      <c r="C588" s="527"/>
      <c r="D588" s="709"/>
      <c r="E588" s="709"/>
      <c r="F588" s="709"/>
    </row>
    <row r="589" spans="1:6" x14ac:dyDescent="0.25">
      <c r="A589" s="709"/>
      <c r="B589" s="709"/>
      <c r="C589" s="527"/>
      <c r="D589" s="709"/>
      <c r="E589" s="709"/>
      <c r="F589" s="709"/>
    </row>
    <row r="590" spans="1:6" x14ac:dyDescent="0.25">
      <c r="A590" s="709"/>
      <c r="B590" s="709"/>
      <c r="C590" s="527"/>
      <c r="D590" s="709"/>
      <c r="E590" s="709"/>
      <c r="F590" s="709"/>
    </row>
    <row r="591" spans="1:6" x14ac:dyDescent="0.25">
      <c r="A591" s="709"/>
      <c r="B591" s="709"/>
      <c r="C591" s="527"/>
      <c r="D591" s="709"/>
      <c r="E591" s="709"/>
      <c r="F591" s="709"/>
    </row>
    <row r="592" spans="1:6" x14ac:dyDescent="0.25">
      <c r="A592" s="709"/>
      <c r="B592" s="709"/>
      <c r="C592" s="527"/>
      <c r="D592" s="709"/>
      <c r="E592" s="709"/>
      <c r="F592" s="709"/>
    </row>
    <row r="593" spans="1:6" x14ac:dyDescent="0.25">
      <c r="A593" s="709"/>
      <c r="B593" s="709"/>
      <c r="C593" s="527"/>
      <c r="D593" s="709"/>
      <c r="E593" s="709"/>
      <c r="F593" s="709"/>
    </row>
    <row r="594" spans="1:6" x14ac:dyDescent="0.25">
      <c r="A594" s="709"/>
      <c r="B594" s="709"/>
      <c r="C594" s="527"/>
      <c r="D594" s="709"/>
      <c r="E594" s="709"/>
      <c r="F594" s="709"/>
    </row>
    <row r="595" spans="1:6" x14ac:dyDescent="0.25">
      <c r="A595" s="709"/>
      <c r="B595" s="709"/>
      <c r="C595" s="527"/>
      <c r="D595" s="709"/>
      <c r="E595" s="709"/>
      <c r="F595" s="709"/>
    </row>
    <row r="596" spans="1:6" x14ac:dyDescent="0.25">
      <c r="A596" s="709"/>
      <c r="B596" s="709"/>
      <c r="C596" s="527"/>
      <c r="D596" s="709"/>
      <c r="E596" s="709"/>
      <c r="F596" s="709"/>
    </row>
    <row r="597" spans="1:6" x14ac:dyDescent="0.25">
      <c r="A597" s="709"/>
      <c r="B597" s="709"/>
      <c r="C597" s="527"/>
      <c r="D597" s="709"/>
      <c r="E597" s="709"/>
      <c r="F597" s="709"/>
    </row>
    <row r="598" spans="1:6" x14ac:dyDescent="0.25">
      <c r="A598" s="709"/>
      <c r="B598" s="709"/>
      <c r="C598" s="527"/>
      <c r="D598" s="709"/>
      <c r="E598" s="709"/>
      <c r="F598" s="709"/>
    </row>
    <row r="599" spans="1:6" x14ac:dyDescent="0.25">
      <c r="A599" s="709"/>
      <c r="B599" s="709"/>
      <c r="C599" s="527"/>
      <c r="D599" s="709"/>
      <c r="E599" s="709"/>
      <c r="F599" s="709"/>
    </row>
    <row r="600" spans="1:6" x14ac:dyDescent="0.25">
      <c r="A600" s="709"/>
      <c r="B600" s="709"/>
      <c r="C600" s="527"/>
      <c r="D600" s="709"/>
      <c r="E600" s="709"/>
      <c r="F600" s="709"/>
    </row>
    <row r="601" spans="1:6" x14ac:dyDescent="0.25">
      <c r="A601" s="709"/>
      <c r="B601" s="709"/>
      <c r="C601" s="527"/>
      <c r="D601" s="709"/>
      <c r="E601" s="709"/>
      <c r="F601" s="709"/>
    </row>
    <row r="602" spans="1:6" x14ac:dyDescent="0.25">
      <c r="A602" s="709"/>
      <c r="B602" s="709"/>
      <c r="C602" s="527"/>
      <c r="D602" s="709"/>
      <c r="E602" s="709"/>
      <c r="F602" s="709"/>
    </row>
    <row r="603" spans="1:6" x14ac:dyDescent="0.25">
      <c r="A603" s="709"/>
      <c r="B603" s="709"/>
      <c r="C603" s="527"/>
      <c r="D603" s="709"/>
      <c r="E603" s="709"/>
      <c r="F603" s="709"/>
    </row>
    <row r="604" spans="1:6" x14ac:dyDescent="0.25">
      <c r="A604" s="709"/>
      <c r="B604" s="709"/>
      <c r="C604" s="527"/>
      <c r="D604" s="709"/>
      <c r="E604" s="709"/>
      <c r="F604" s="709"/>
    </row>
    <row r="605" spans="1:6" x14ac:dyDescent="0.25">
      <c r="A605" s="709"/>
      <c r="B605" s="709"/>
      <c r="C605" s="527"/>
      <c r="D605" s="709"/>
      <c r="E605" s="709"/>
      <c r="F605" s="709"/>
    </row>
    <row r="606" spans="1:6" x14ac:dyDescent="0.25">
      <c r="A606" s="709"/>
      <c r="B606" s="709"/>
      <c r="C606" s="527"/>
      <c r="D606" s="709"/>
      <c r="E606" s="709"/>
      <c r="F606" s="709"/>
    </row>
    <row r="607" spans="1:6" x14ac:dyDescent="0.25">
      <c r="A607" s="709"/>
      <c r="B607" s="709"/>
      <c r="C607" s="527"/>
      <c r="D607" s="709"/>
      <c r="E607" s="709"/>
      <c r="F607" s="709"/>
    </row>
    <row r="608" spans="1:6" x14ac:dyDescent="0.25">
      <c r="A608" s="709"/>
      <c r="B608" s="709"/>
      <c r="C608" s="527"/>
      <c r="D608" s="709"/>
      <c r="E608" s="709"/>
      <c r="F608" s="709"/>
    </row>
    <row r="609" spans="1:6" x14ac:dyDescent="0.25">
      <c r="A609" s="709"/>
      <c r="B609" s="709"/>
      <c r="C609" s="527"/>
      <c r="D609" s="709"/>
      <c r="E609" s="709"/>
      <c r="F609" s="709"/>
    </row>
    <row r="610" spans="1:6" x14ac:dyDescent="0.25">
      <c r="A610" s="709"/>
      <c r="B610" s="709"/>
      <c r="C610" s="527"/>
      <c r="D610" s="709"/>
      <c r="E610" s="709"/>
      <c r="F610" s="709"/>
    </row>
    <row r="611" spans="1:6" x14ac:dyDescent="0.25">
      <c r="A611" s="709"/>
      <c r="B611" s="709"/>
      <c r="C611" s="527"/>
      <c r="D611" s="709"/>
      <c r="E611" s="709"/>
      <c r="F611" s="709"/>
    </row>
    <row r="612" spans="1:6" x14ac:dyDescent="0.25">
      <c r="A612" s="709"/>
      <c r="B612" s="709"/>
      <c r="C612" s="527"/>
      <c r="D612" s="709"/>
      <c r="E612" s="709"/>
      <c r="F612" s="709"/>
    </row>
    <row r="613" spans="1:6" x14ac:dyDescent="0.25">
      <c r="A613" s="709"/>
      <c r="B613" s="709"/>
      <c r="C613" s="527"/>
      <c r="D613" s="709"/>
      <c r="E613" s="709"/>
      <c r="F613" s="709"/>
    </row>
    <row r="614" spans="1:6" x14ac:dyDescent="0.25">
      <c r="A614" s="709"/>
      <c r="B614" s="709"/>
      <c r="C614" s="527"/>
      <c r="D614" s="709"/>
      <c r="E614" s="709"/>
      <c r="F614" s="709"/>
    </row>
    <row r="615" spans="1:6" x14ac:dyDescent="0.25">
      <c r="A615" s="709"/>
      <c r="B615" s="709"/>
      <c r="C615" s="527"/>
      <c r="D615" s="709"/>
      <c r="E615" s="709"/>
      <c r="F615" s="709"/>
    </row>
    <row r="616" spans="1:6" x14ac:dyDescent="0.25">
      <c r="A616" s="709"/>
      <c r="B616" s="709"/>
      <c r="C616" s="527"/>
      <c r="D616" s="709"/>
      <c r="E616" s="709"/>
      <c r="F616" s="709"/>
    </row>
    <row r="617" spans="1:6" x14ac:dyDescent="0.25">
      <c r="A617" s="709"/>
      <c r="B617" s="709"/>
      <c r="C617" s="527"/>
      <c r="D617" s="709"/>
      <c r="E617" s="709"/>
      <c r="F617" s="709"/>
    </row>
    <row r="618" spans="1:6" x14ac:dyDescent="0.25">
      <c r="A618" s="709"/>
      <c r="B618" s="709"/>
      <c r="C618" s="527"/>
      <c r="D618" s="709"/>
      <c r="E618" s="709"/>
      <c r="F618" s="709"/>
    </row>
    <row r="619" spans="1:6" x14ac:dyDescent="0.25">
      <c r="A619" s="709"/>
      <c r="B619" s="709"/>
      <c r="C619" s="527"/>
      <c r="D619" s="709"/>
      <c r="E619" s="709"/>
      <c r="F619" s="709"/>
    </row>
    <row r="620" spans="1:6" x14ac:dyDescent="0.25">
      <c r="A620" s="709"/>
      <c r="B620" s="709"/>
      <c r="C620" s="527"/>
      <c r="D620" s="709"/>
      <c r="E620" s="709"/>
      <c r="F620" s="709"/>
    </row>
    <row r="621" spans="1:6" x14ac:dyDescent="0.25">
      <c r="A621" s="709"/>
      <c r="B621" s="709"/>
      <c r="C621" s="527"/>
      <c r="D621" s="709"/>
      <c r="E621" s="709"/>
      <c r="F621" s="709"/>
    </row>
    <row r="622" spans="1:6" x14ac:dyDescent="0.25">
      <c r="A622" s="709"/>
      <c r="B622" s="709"/>
      <c r="C622" s="527"/>
      <c r="D622" s="709"/>
      <c r="E622" s="709"/>
      <c r="F622" s="709"/>
    </row>
    <row r="623" spans="1:6" x14ac:dyDescent="0.25">
      <c r="A623" s="709"/>
      <c r="B623" s="709"/>
      <c r="C623" s="527"/>
      <c r="D623" s="709"/>
      <c r="E623" s="709"/>
      <c r="F623" s="709"/>
    </row>
    <row r="624" spans="1:6" x14ac:dyDescent="0.25">
      <c r="A624" s="709"/>
      <c r="B624" s="709"/>
      <c r="C624" s="527"/>
      <c r="D624" s="709"/>
      <c r="E624" s="709"/>
      <c r="F624" s="709"/>
    </row>
    <row r="625" spans="1:6" x14ac:dyDescent="0.25">
      <c r="A625" s="709"/>
      <c r="B625" s="709"/>
      <c r="C625" s="527"/>
      <c r="D625" s="709"/>
      <c r="E625" s="709"/>
      <c r="F625" s="709"/>
    </row>
    <row r="626" spans="1:6" x14ac:dyDescent="0.25">
      <c r="A626" s="709"/>
      <c r="B626" s="709"/>
      <c r="C626" s="527"/>
      <c r="D626" s="709"/>
      <c r="E626" s="709"/>
      <c r="F626" s="709"/>
    </row>
    <row r="627" spans="1:6" x14ac:dyDescent="0.25">
      <c r="A627" s="709"/>
      <c r="B627" s="709"/>
      <c r="C627" s="527"/>
      <c r="D627" s="709"/>
      <c r="E627" s="709"/>
      <c r="F627" s="709"/>
    </row>
    <row r="628" spans="1:6" x14ac:dyDescent="0.25">
      <c r="A628" s="709"/>
      <c r="B628" s="709"/>
      <c r="C628" s="527"/>
      <c r="D628" s="709"/>
      <c r="E628" s="709"/>
      <c r="F628" s="709"/>
    </row>
    <row r="629" spans="1:6" x14ac:dyDescent="0.25">
      <c r="A629" s="709"/>
      <c r="B629" s="709"/>
      <c r="C629" s="527"/>
      <c r="D629" s="709"/>
      <c r="E629" s="709"/>
      <c r="F629" s="709"/>
    </row>
    <row r="630" spans="1:6" x14ac:dyDescent="0.25">
      <c r="A630" s="709"/>
      <c r="B630" s="709"/>
      <c r="C630" s="527"/>
      <c r="D630" s="709"/>
      <c r="E630" s="709"/>
      <c r="F630" s="709"/>
    </row>
    <row r="631" spans="1:6" x14ac:dyDescent="0.25">
      <c r="A631" s="709"/>
      <c r="B631" s="709"/>
      <c r="C631" s="527"/>
      <c r="D631" s="709"/>
      <c r="E631" s="709"/>
      <c r="F631" s="709"/>
    </row>
    <row r="632" spans="1:6" x14ac:dyDescent="0.25">
      <c r="A632" s="709"/>
      <c r="B632" s="709"/>
      <c r="C632" s="527"/>
      <c r="D632" s="709"/>
      <c r="E632" s="709"/>
      <c r="F632" s="709"/>
    </row>
    <row r="633" spans="1:6" x14ac:dyDescent="0.25">
      <c r="A633" s="709"/>
      <c r="B633" s="709"/>
      <c r="C633" s="527"/>
      <c r="D633" s="709"/>
      <c r="E633" s="709"/>
      <c r="F633" s="709"/>
    </row>
    <row r="634" spans="1:6" x14ac:dyDescent="0.25">
      <c r="A634" s="709"/>
      <c r="B634" s="709"/>
      <c r="C634" s="527"/>
      <c r="D634" s="709"/>
      <c r="E634" s="709"/>
      <c r="F634" s="709"/>
    </row>
    <row r="635" spans="1:6" x14ac:dyDescent="0.25">
      <c r="A635" s="709"/>
      <c r="B635" s="709"/>
      <c r="C635" s="527"/>
      <c r="D635" s="709"/>
      <c r="E635" s="709"/>
      <c r="F635" s="709"/>
    </row>
    <row r="636" spans="1:6" x14ac:dyDescent="0.25">
      <c r="A636" s="709"/>
      <c r="B636" s="709"/>
      <c r="C636" s="527"/>
      <c r="D636" s="709"/>
      <c r="E636" s="709"/>
      <c r="F636" s="709"/>
    </row>
    <row r="637" spans="1:6" x14ac:dyDescent="0.25">
      <c r="A637" s="709"/>
      <c r="B637" s="709"/>
      <c r="C637" s="527"/>
      <c r="D637" s="709"/>
      <c r="E637" s="709"/>
      <c r="F637" s="709"/>
    </row>
    <row r="638" spans="1:6" x14ac:dyDescent="0.25">
      <c r="A638" s="709"/>
      <c r="B638" s="709"/>
      <c r="C638" s="527"/>
      <c r="D638" s="709"/>
      <c r="E638" s="709"/>
      <c r="F638" s="709"/>
    </row>
    <row r="639" spans="1:6" x14ac:dyDescent="0.25">
      <c r="A639" s="709"/>
      <c r="B639" s="709"/>
      <c r="C639" s="527"/>
      <c r="D639" s="709"/>
      <c r="E639" s="709"/>
      <c r="F639" s="709"/>
    </row>
    <row r="640" spans="1:6" x14ac:dyDescent="0.25">
      <c r="A640" s="709"/>
      <c r="B640" s="709"/>
      <c r="C640" s="527"/>
      <c r="D640" s="709"/>
      <c r="E640" s="709"/>
      <c r="F640" s="709"/>
    </row>
    <row r="641" spans="1:6" x14ac:dyDescent="0.25">
      <c r="A641" s="709"/>
      <c r="B641" s="709"/>
      <c r="C641" s="527"/>
      <c r="D641" s="709"/>
      <c r="E641" s="709"/>
      <c r="F641" s="709"/>
    </row>
    <row r="642" spans="1:6" x14ac:dyDescent="0.25">
      <c r="A642" s="709"/>
      <c r="B642" s="709"/>
      <c r="C642" s="527"/>
      <c r="D642" s="709"/>
      <c r="E642" s="709"/>
      <c r="F642" s="709"/>
    </row>
    <row r="643" spans="1:6" x14ac:dyDescent="0.25">
      <c r="A643" s="709"/>
      <c r="B643" s="709"/>
      <c r="C643" s="527"/>
      <c r="D643" s="709"/>
      <c r="E643" s="709"/>
      <c r="F643" s="709"/>
    </row>
    <row r="644" spans="1:6" x14ac:dyDescent="0.25">
      <c r="A644" s="709"/>
      <c r="B644" s="709"/>
      <c r="C644" s="527"/>
      <c r="D644" s="709"/>
      <c r="E644" s="709"/>
      <c r="F644" s="709"/>
    </row>
    <row r="645" spans="1:6" x14ac:dyDescent="0.25">
      <c r="A645" s="709"/>
      <c r="B645" s="709"/>
      <c r="C645" s="527"/>
      <c r="D645" s="709"/>
      <c r="E645" s="709"/>
      <c r="F645" s="709"/>
    </row>
    <row r="646" spans="1:6" x14ac:dyDescent="0.25">
      <c r="A646" s="709"/>
      <c r="B646" s="709"/>
      <c r="C646" s="527"/>
      <c r="D646" s="709"/>
      <c r="E646" s="709"/>
      <c r="F646" s="709"/>
    </row>
    <row r="647" spans="1:6" x14ac:dyDescent="0.25">
      <c r="A647" s="709"/>
      <c r="B647" s="709"/>
      <c r="C647" s="527"/>
      <c r="D647" s="709"/>
      <c r="E647" s="709"/>
      <c r="F647" s="709"/>
    </row>
    <row r="648" spans="1:6" x14ac:dyDescent="0.25">
      <c r="A648" s="709"/>
      <c r="B648" s="709"/>
      <c r="C648" s="527"/>
      <c r="D648" s="709"/>
      <c r="E648" s="709"/>
      <c r="F648" s="709"/>
    </row>
    <row r="649" spans="1:6" x14ac:dyDescent="0.25">
      <c r="A649" s="709"/>
      <c r="B649" s="709"/>
      <c r="C649" s="527"/>
      <c r="D649" s="709"/>
      <c r="E649" s="709"/>
      <c r="F649" s="709"/>
    </row>
    <row r="650" spans="1:6" x14ac:dyDescent="0.25">
      <c r="A650" s="709"/>
      <c r="B650" s="709"/>
      <c r="C650" s="527"/>
      <c r="D650" s="709"/>
      <c r="E650" s="709"/>
      <c r="F650" s="709"/>
    </row>
    <row r="651" spans="1:6" x14ac:dyDescent="0.25">
      <c r="A651" s="709"/>
      <c r="B651" s="709"/>
      <c r="C651" s="527"/>
      <c r="D651" s="709"/>
      <c r="E651" s="709"/>
      <c r="F651" s="709"/>
    </row>
    <row r="652" spans="1:6" x14ac:dyDescent="0.25">
      <c r="A652" s="709"/>
      <c r="B652" s="709"/>
      <c r="C652" s="527"/>
      <c r="D652" s="709"/>
      <c r="E652" s="709"/>
      <c r="F652" s="709"/>
    </row>
    <row r="653" spans="1:6" x14ac:dyDescent="0.25">
      <c r="A653" s="709"/>
      <c r="B653" s="709"/>
      <c r="C653" s="527"/>
      <c r="D653" s="709"/>
      <c r="E653" s="709"/>
      <c r="F653" s="709"/>
    </row>
    <row r="654" spans="1:6" x14ac:dyDescent="0.25">
      <c r="A654" s="709"/>
      <c r="B654" s="709"/>
      <c r="C654" s="527"/>
      <c r="D654" s="709"/>
      <c r="E654" s="709"/>
      <c r="F654" s="709"/>
    </row>
    <row r="655" spans="1:6" x14ac:dyDescent="0.25">
      <c r="A655" s="709"/>
      <c r="B655" s="709"/>
      <c r="C655" s="527"/>
      <c r="D655" s="709"/>
      <c r="E655" s="709"/>
      <c r="F655" s="709"/>
    </row>
    <row r="656" spans="1:6" x14ac:dyDescent="0.25">
      <c r="A656" s="709"/>
      <c r="B656" s="709"/>
      <c r="C656" s="527"/>
      <c r="D656" s="709"/>
      <c r="E656" s="709"/>
      <c r="F656" s="709"/>
    </row>
    <row r="657" spans="1:6" x14ac:dyDescent="0.25">
      <c r="A657" s="709"/>
      <c r="B657" s="709"/>
      <c r="C657" s="527"/>
      <c r="D657" s="709"/>
      <c r="E657" s="709"/>
      <c r="F657" s="709"/>
    </row>
    <row r="658" spans="1:6" x14ac:dyDescent="0.25">
      <c r="A658" s="709"/>
      <c r="B658" s="709"/>
      <c r="C658" s="527"/>
      <c r="D658" s="709"/>
      <c r="E658" s="709"/>
      <c r="F658" s="709"/>
    </row>
    <row r="659" spans="1:6" x14ac:dyDescent="0.25">
      <c r="A659" s="709"/>
      <c r="B659" s="709"/>
      <c r="C659" s="527"/>
      <c r="D659" s="709"/>
      <c r="E659" s="709"/>
      <c r="F659" s="709"/>
    </row>
    <row r="660" spans="1:6" x14ac:dyDescent="0.25">
      <c r="A660" s="709"/>
      <c r="B660" s="709"/>
      <c r="C660" s="527"/>
      <c r="D660" s="709"/>
      <c r="E660" s="709"/>
      <c r="F660" s="709"/>
    </row>
    <row r="661" spans="1:6" x14ac:dyDescent="0.25">
      <c r="A661" s="709"/>
      <c r="B661" s="709"/>
      <c r="C661" s="527"/>
      <c r="D661" s="709"/>
      <c r="E661" s="709"/>
      <c r="F661" s="709"/>
    </row>
    <row r="662" spans="1:6" x14ac:dyDescent="0.25">
      <c r="A662" s="709"/>
      <c r="B662" s="709"/>
      <c r="C662" s="527"/>
      <c r="D662" s="709"/>
      <c r="E662" s="709"/>
      <c r="F662" s="709"/>
    </row>
    <row r="663" spans="1:6" x14ac:dyDescent="0.25">
      <c r="A663" s="709"/>
      <c r="B663" s="709"/>
      <c r="C663" s="527"/>
      <c r="D663" s="709"/>
      <c r="E663" s="709"/>
      <c r="F663" s="709"/>
    </row>
    <row r="664" spans="1:6" x14ac:dyDescent="0.25">
      <c r="A664" s="709"/>
      <c r="B664" s="709"/>
      <c r="C664" s="527"/>
      <c r="D664" s="709"/>
      <c r="E664" s="709"/>
      <c r="F664" s="709"/>
    </row>
    <row r="665" spans="1:6" x14ac:dyDescent="0.25">
      <c r="A665" s="709"/>
      <c r="B665" s="709"/>
      <c r="C665" s="527"/>
      <c r="D665" s="709"/>
      <c r="E665" s="709"/>
      <c r="F665" s="709"/>
    </row>
    <row r="666" spans="1:6" x14ac:dyDescent="0.25">
      <c r="A666" s="709"/>
      <c r="B666" s="709"/>
      <c r="C666" s="527"/>
      <c r="D666" s="709"/>
      <c r="E666" s="709"/>
      <c r="F666" s="709"/>
    </row>
    <row r="667" spans="1:6" x14ac:dyDescent="0.25">
      <c r="A667" s="709"/>
      <c r="B667" s="709"/>
      <c r="C667" s="527"/>
      <c r="D667" s="709"/>
      <c r="E667" s="709"/>
      <c r="F667" s="709"/>
    </row>
    <row r="668" spans="1:6" x14ac:dyDescent="0.25">
      <c r="A668" s="709"/>
      <c r="B668" s="709"/>
      <c r="C668" s="527"/>
      <c r="D668" s="709"/>
      <c r="E668" s="709"/>
      <c r="F668" s="709"/>
    </row>
    <row r="669" spans="1:6" x14ac:dyDescent="0.25">
      <c r="A669" s="709"/>
      <c r="B669" s="709"/>
      <c r="C669" s="527"/>
      <c r="D669" s="709"/>
      <c r="E669" s="709"/>
      <c r="F669" s="709"/>
    </row>
    <row r="670" spans="1:6" x14ac:dyDescent="0.25">
      <c r="A670" s="709"/>
      <c r="B670" s="709"/>
      <c r="C670" s="527"/>
      <c r="D670" s="709"/>
      <c r="E670" s="709"/>
      <c r="F670" s="709"/>
    </row>
    <row r="671" spans="1:6" x14ac:dyDescent="0.25">
      <c r="A671" s="709"/>
      <c r="B671" s="709"/>
      <c r="C671" s="527"/>
      <c r="D671" s="709"/>
      <c r="E671" s="709"/>
      <c r="F671" s="709"/>
    </row>
    <row r="672" spans="1:6" x14ac:dyDescent="0.25">
      <c r="A672" s="709"/>
      <c r="B672" s="709"/>
      <c r="C672" s="527"/>
      <c r="D672" s="709"/>
      <c r="E672" s="709"/>
      <c r="F672" s="709"/>
    </row>
    <row r="673" spans="1:6" x14ac:dyDescent="0.25">
      <c r="A673" s="709"/>
      <c r="B673" s="709"/>
      <c r="C673" s="527"/>
      <c r="D673" s="709"/>
      <c r="E673" s="709"/>
      <c r="F673" s="709"/>
    </row>
    <row r="674" spans="1:6" x14ac:dyDescent="0.25">
      <c r="A674" s="709"/>
      <c r="B674" s="709"/>
      <c r="C674" s="527"/>
      <c r="D674" s="709"/>
      <c r="E674" s="709"/>
      <c r="F674" s="709"/>
    </row>
    <row r="675" spans="1:6" x14ac:dyDescent="0.25">
      <c r="A675" s="709"/>
      <c r="B675" s="709"/>
      <c r="C675" s="527"/>
      <c r="D675" s="709"/>
      <c r="E675" s="709"/>
      <c r="F675" s="709"/>
    </row>
    <row r="676" spans="1:6" x14ac:dyDescent="0.25">
      <c r="A676" s="709"/>
      <c r="B676" s="709"/>
      <c r="C676" s="527"/>
      <c r="D676" s="709"/>
      <c r="E676" s="709"/>
      <c r="F676" s="709"/>
    </row>
    <row r="677" spans="1:6" x14ac:dyDescent="0.25">
      <c r="A677" s="709"/>
      <c r="B677" s="709"/>
      <c r="C677" s="527"/>
      <c r="D677" s="709"/>
      <c r="E677" s="709"/>
      <c r="F677" s="709"/>
    </row>
    <row r="678" spans="1:6" x14ac:dyDescent="0.25">
      <c r="A678" s="709"/>
      <c r="B678" s="709"/>
      <c r="C678" s="527"/>
      <c r="D678" s="709"/>
      <c r="E678" s="709"/>
      <c r="F678" s="709"/>
    </row>
    <row r="679" spans="1:6" x14ac:dyDescent="0.25">
      <c r="A679" s="709"/>
      <c r="B679" s="709"/>
      <c r="C679" s="527"/>
      <c r="D679" s="709"/>
      <c r="E679" s="709"/>
      <c r="F679" s="709"/>
    </row>
    <row r="680" spans="1:6" x14ac:dyDescent="0.25">
      <c r="A680" s="709"/>
      <c r="B680" s="709"/>
      <c r="C680" s="527"/>
      <c r="D680" s="709"/>
      <c r="E680" s="709"/>
      <c r="F680" s="709"/>
    </row>
    <row r="681" spans="1:6" x14ac:dyDescent="0.25">
      <c r="A681" s="709"/>
      <c r="B681" s="709"/>
      <c r="C681" s="527"/>
      <c r="D681" s="709"/>
      <c r="E681" s="709"/>
      <c r="F681" s="709"/>
    </row>
    <row r="682" spans="1:6" x14ac:dyDescent="0.25">
      <c r="A682" s="709"/>
      <c r="B682" s="709"/>
      <c r="C682" s="527"/>
      <c r="D682" s="709"/>
      <c r="E682" s="709"/>
      <c r="F682" s="709"/>
    </row>
    <row r="683" spans="1:6" x14ac:dyDescent="0.25">
      <c r="A683" s="709"/>
      <c r="B683" s="709"/>
      <c r="C683" s="527"/>
      <c r="D683" s="709"/>
      <c r="E683" s="709"/>
      <c r="F683" s="709"/>
    </row>
    <row r="684" spans="1:6" x14ac:dyDescent="0.25">
      <c r="A684" s="709"/>
      <c r="B684" s="709"/>
      <c r="C684" s="527"/>
      <c r="D684" s="709"/>
      <c r="E684" s="709"/>
      <c r="F684" s="709"/>
    </row>
    <row r="685" spans="1:6" x14ac:dyDescent="0.25">
      <c r="A685" s="709"/>
      <c r="B685" s="709"/>
      <c r="C685" s="527"/>
      <c r="D685" s="709"/>
      <c r="E685" s="709"/>
      <c r="F685" s="709"/>
    </row>
    <row r="686" spans="1:6" x14ac:dyDescent="0.25">
      <c r="A686" s="709"/>
      <c r="B686" s="709"/>
      <c r="C686" s="527"/>
      <c r="D686" s="709"/>
      <c r="E686" s="709"/>
      <c r="F686" s="709"/>
    </row>
    <row r="687" spans="1:6" x14ac:dyDescent="0.25">
      <c r="A687" s="709"/>
      <c r="B687" s="709"/>
      <c r="C687" s="527"/>
      <c r="D687" s="709"/>
      <c r="E687" s="709"/>
      <c r="F687" s="709"/>
    </row>
    <row r="688" spans="1:6" x14ac:dyDescent="0.25">
      <c r="A688" s="709"/>
      <c r="B688" s="709"/>
      <c r="C688" s="527"/>
      <c r="D688" s="709"/>
      <c r="E688" s="709"/>
      <c r="F688" s="709"/>
    </row>
    <row r="689" spans="1:6" x14ac:dyDescent="0.25">
      <c r="A689" s="709"/>
      <c r="B689" s="709"/>
      <c r="C689" s="527"/>
      <c r="D689" s="709"/>
      <c r="E689" s="709"/>
      <c r="F689" s="709"/>
    </row>
    <row r="690" spans="1:6" x14ac:dyDescent="0.25">
      <c r="A690" s="709"/>
      <c r="B690" s="709"/>
      <c r="C690" s="527"/>
      <c r="D690" s="709"/>
      <c r="E690" s="709"/>
      <c r="F690" s="709"/>
    </row>
    <row r="691" spans="1:6" x14ac:dyDescent="0.25">
      <c r="A691" s="709"/>
      <c r="B691" s="709"/>
      <c r="C691" s="527"/>
      <c r="D691" s="709"/>
      <c r="E691" s="709"/>
      <c r="F691" s="709"/>
    </row>
    <row r="692" spans="1:6" x14ac:dyDescent="0.25">
      <c r="A692" s="709"/>
      <c r="B692" s="709"/>
      <c r="C692" s="527"/>
      <c r="D692" s="709"/>
      <c r="E692" s="709"/>
      <c r="F692" s="709"/>
    </row>
    <row r="693" spans="1:6" x14ac:dyDescent="0.25">
      <c r="A693" s="709"/>
      <c r="B693" s="709"/>
      <c r="C693" s="527"/>
      <c r="D693" s="709"/>
      <c r="E693" s="709"/>
      <c r="F693" s="709"/>
    </row>
    <row r="694" spans="1:6" x14ac:dyDescent="0.25">
      <c r="A694" s="709"/>
      <c r="B694" s="709"/>
      <c r="C694" s="527"/>
      <c r="D694" s="709"/>
      <c r="E694" s="709"/>
      <c r="F694" s="709"/>
    </row>
    <row r="695" spans="1:6" x14ac:dyDescent="0.25">
      <c r="A695" s="709"/>
      <c r="B695" s="709"/>
      <c r="C695" s="527"/>
      <c r="D695" s="709"/>
      <c r="E695" s="709"/>
      <c r="F695" s="709"/>
    </row>
    <row r="696" spans="1:6" x14ac:dyDescent="0.25">
      <c r="A696" s="709"/>
      <c r="B696" s="709"/>
      <c r="C696" s="527"/>
      <c r="D696" s="709"/>
      <c r="E696" s="709"/>
      <c r="F696" s="709"/>
    </row>
    <row r="697" spans="1:6" x14ac:dyDescent="0.25">
      <c r="A697" s="709"/>
      <c r="B697" s="709"/>
      <c r="C697" s="527"/>
      <c r="D697" s="709"/>
      <c r="E697" s="709"/>
      <c r="F697" s="709"/>
    </row>
    <row r="698" spans="1:6" x14ac:dyDescent="0.25">
      <c r="A698" s="709"/>
      <c r="B698" s="709"/>
      <c r="C698" s="527"/>
      <c r="D698" s="709"/>
      <c r="E698" s="709"/>
      <c r="F698" s="709"/>
    </row>
    <row r="699" spans="1:6" x14ac:dyDescent="0.25">
      <c r="A699" s="709"/>
      <c r="B699" s="709"/>
      <c r="C699" s="527"/>
      <c r="D699" s="709"/>
      <c r="E699" s="709"/>
      <c r="F699" s="709"/>
    </row>
    <row r="700" spans="1:6" x14ac:dyDescent="0.25">
      <c r="A700" s="709"/>
      <c r="B700" s="709"/>
      <c r="C700" s="527"/>
      <c r="D700" s="709"/>
      <c r="E700" s="709"/>
      <c r="F700" s="709"/>
    </row>
    <row r="701" spans="1:6" x14ac:dyDescent="0.25">
      <c r="A701" s="709"/>
      <c r="B701" s="709"/>
      <c r="C701" s="527"/>
      <c r="D701" s="709"/>
      <c r="E701" s="709"/>
      <c r="F701" s="709"/>
    </row>
    <row r="702" spans="1:6" x14ac:dyDescent="0.25">
      <c r="A702" s="709"/>
      <c r="B702" s="709"/>
      <c r="C702" s="527"/>
      <c r="D702" s="709"/>
      <c r="E702" s="709"/>
      <c r="F702" s="709"/>
    </row>
    <row r="703" spans="1:6" x14ac:dyDescent="0.25">
      <c r="A703" s="709"/>
      <c r="B703" s="709"/>
      <c r="C703" s="527"/>
      <c r="D703" s="709"/>
      <c r="E703" s="709"/>
      <c r="F703" s="709"/>
    </row>
    <row r="704" spans="1:6" x14ac:dyDescent="0.25">
      <c r="A704" s="709"/>
      <c r="B704" s="709"/>
      <c r="C704" s="527"/>
      <c r="D704" s="709"/>
      <c r="E704" s="709"/>
      <c r="F704" s="709"/>
    </row>
    <row r="705" spans="1:6" x14ac:dyDescent="0.25">
      <c r="A705" s="709"/>
      <c r="B705" s="709"/>
      <c r="C705" s="527"/>
      <c r="D705" s="709"/>
      <c r="E705" s="709"/>
      <c r="F705" s="709"/>
    </row>
    <row r="706" spans="1:6" x14ac:dyDescent="0.25">
      <c r="A706" s="709"/>
      <c r="B706" s="709"/>
      <c r="C706" s="527"/>
      <c r="D706" s="709"/>
      <c r="E706" s="709"/>
      <c r="F706" s="709"/>
    </row>
    <row r="707" spans="1:6" x14ac:dyDescent="0.25">
      <c r="A707" s="709"/>
      <c r="B707" s="709"/>
      <c r="C707" s="527"/>
      <c r="D707" s="709"/>
      <c r="E707" s="709"/>
      <c r="F707" s="709"/>
    </row>
    <row r="708" spans="1:6" x14ac:dyDescent="0.25">
      <c r="A708" s="709"/>
      <c r="B708" s="709"/>
      <c r="C708" s="527"/>
      <c r="D708" s="709"/>
      <c r="E708" s="709"/>
      <c r="F708" s="709"/>
    </row>
    <row r="709" spans="1:6" x14ac:dyDescent="0.25">
      <c r="A709" s="709"/>
      <c r="B709" s="709"/>
      <c r="C709" s="527"/>
      <c r="D709" s="709"/>
      <c r="E709" s="709"/>
      <c r="F709" s="709"/>
    </row>
    <row r="710" spans="1:6" x14ac:dyDescent="0.25">
      <c r="A710" s="709"/>
      <c r="B710" s="709"/>
      <c r="C710" s="527"/>
      <c r="D710" s="709"/>
      <c r="E710" s="709"/>
      <c r="F710" s="709"/>
    </row>
    <row r="711" spans="1:6" x14ac:dyDescent="0.25">
      <c r="A711" s="709"/>
      <c r="B711" s="709"/>
      <c r="C711" s="527"/>
      <c r="D711" s="709"/>
      <c r="E711" s="709"/>
      <c r="F711" s="709"/>
    </row>
    <row r="712" spans="1:6" x14ac:dyDescent="0.25">
      <c r="A712" s="709"/>
      <c r="B712" s="709"/>
      <c r="C712" s="527"/>
      <c r="D712" s="709"/>
      <c r="E712" s="709"/>
      <c r="F712" s="709"/>
    </row>
    <row r="713" spans="1:6" x14ac:dyDescent="0.25">
      <c r="A713" s="709"/>
      <c r="B713" s="709"/>
      <c r="C713" s="527"/>
      <c r="D713" s="709"/>
      <c r="E713" s="709"/>
      <c r="F713" s="709"/>
    </row>
    <row r="714" spans="1:6" x14ac:dyDescent="0.25">
      <c r="A714" s="709"/>
      <c r="B714" s="709"/>
      <c r="C714" s="527"/>
      <c r="D714" s="709"/>
      <c r="E714" s="709"/>
      <c r="F714" s="709"/>
    </row>
    <row r="715" spans="1:6" x14ac:dyDescent="0.25">
      <c r="A715" s="709"/>
      <c r="B715" s="709"/>
      <c r="C715" s="527"/>
      <c r="D715" s="709"/>
      <c r="E715" s="709"/>
      <c r="F715" s="709"/>
    </row>
    <row r="716" spans="1:6" x14ac:dyDescent="0.25">
      <c r="A716" s="709"/>
      <c r="B716" s="709"/>
      <c r="C716" s="527"/>
      <c r="D716" s="709"/>
      <c r="E716" s="709"/>
      <c r="F716" s="709"/>
    </row>
    <row r="717" spans="1:6" x14ac:dyDescent="0.25">
      <c r="A717" s="709"/>
      <c r="B717" s="709"/>
      <c r="C717" s="527"/>
      <c r="D717" s="709"/>
      <c r="E717" s="709"/>
      <c r="F717" s="709"/>
    </row>
    <row r="718" spans="1:6" x14ac:dyDescent="0.25">
      <c r="A718" s="709"/>
      <c r="B718" s="709"/>
      <c r="C718" s="527"/>
      <c r="D718" s="709"/>
      <c r="E718" s="709"/>
      <c r="F718" s="709"/>
    </row>
    <row r="719" spans="1:6" x14ac:dyDescent="0.25">
      <c r="A719" s="709"/>
      <c r="B719" s="709"/>
      <c r="C719" s="527"/>
      <c r="D719" s="709"/>
      <c r="E719" s="709"/>
      <c r="F719" s="709"/>
    </row>
    <row r="720" spans="1:6" x14ac:dyDescent="0.25">
      <c r="A720" s="709"/>
      <c r="B720" s="709"/>
      <c r="C720" s="527"/>
      <c r="D720" s="709"/>
      <c r="E720" s="709"/>
      <c r="F720" s="709"/>
    </row>
    <row r="721" spans="1:6" x14ac:dyDescent="0.25">
      <c r="A721" s="709"/>
      <c r="B721" s="709"/>
      <c r="C721" s="527"/>
      <c r="D721" s="709"/>
      <c r="E721" s="709"/>
      <c r="F721" s="709"/>
    </row>
    <row r="722" spans="1:6" x14ac:dyDescent="0.25">
      <c r="A722" s="709"/>
      <c r="B722" s="709"/>
      <c r="C722" s="527"/>
      <c r="D722" s="709"/>
      <c r="E722" s="709"/>
      <c r="F722" s="709"/>
    </row>
    <row r="723" spans="1:6" x14ac:dyDescent="0.25">
      <c r="A723" s="709"/>
      <c r="B723" s="709"/>
      <c r="C723" s="527"/>
      <c r="D723" s="709"/>
      <c r="E723" s="709"/>
      <c r="F723" s="709"/>
    </row>
    <row r="724" spans="1:6" x14ac:dyDescent="0.25">
      <c r="A724" s="709"/>
      <c r="B724" s="709"/>
      <c r="C724" s="527"/>
      <c r="D724" s="709"/>
      <c r="E724" s="709"/>
      <c r="F724" s="709"/>
    </row>
    <row r="725" spans="1:6" x14ac:dyDescent="0.25">
      <c r="A725" s="709"/>
      <c r="B725" s="709"/>
      <c r="C725" s="527"/>
      <c r="D725" s="709"/>
      <c r="E725" s="709"/>
      <c r="F725" s="709"/>
    </row>
    <row r="726" spans="1:6" x14ac:dyDescent="0.25">
      <c r="A726" s="709"/>
      <c r="B726" s="709"/>
      <c r="C726" s="527"/>
      <c r="D726" s="709"/>
      <c r="E726" s="709"/>
      <c r="F726" s="709"/>
    </row>
    <row r="727" spans="1:6" x14ac:dyDescent="0.25">
      <c r="A727" s="709"/>
      <c r="B727" s="709"/>
      <c r="C727" s="527"/>
      <c r="D727" s="709"/>
      <c r="E727" s="709"/>
      <c r="F727" s="709"/>
    </row>
    <row r="728" spans="1:6" x14ac:dyDescent="0.25">
      <c r="A728" s="709"/>
      <c r="B728" s="709"/>
      <c r="C728" s="527"/>
      <c r="D728" s="709"/>
      <c r="E728" s="709"/>
      <c r="F728" s="709"/>
    </row>
    <row r="729" spans="1:6" x14ac:dyDescent="0.25">
      <c r="A729" s="709"/>
      <c r="B729" s="709"/>
      <c r="C729" s="527"/>
      <c r="D729" s="709"/>
      <c r="E729" s="709"/>
      <c r="F729" s="709"/>
    </row>
    <row r="730" spans="1:6" x14ac:dyDescent="0.25">
      <c r="A730" s="709"/>
      <c r="B730" s="709"/>
      <c r="C730" s="527"/>
      <c r="D730" s="709"/>
      <c r="E730" s="709"/>
      <c r="F730" s="709"/>
    </row>
    <row r="731" spans="1:6" x14ac:dyDescent="0.25">
      <c r="A731" s="709"/>
      <c r="B731" s="709"/>
      <c r="C731" s="527"/>
      <c r="D731" s="709"/>
      <c r="E731" s="709"/>
      <c r="F731" s="709"/>
    </row>
    <row r="732" spans="1:6" x14ac:dyDescent="0.25">
      <c r="A732" s="709"/>
      <c r="B732" s="709"/>
      <c r="C732" s="527"/>
      <c r="D732" s="709"/>
      <c r="E732" s="709"/>
      <c r="F732" s="709"/>
    </row>
    <row r="733" spans="1:6" x14ac:dyDescent="0.25">
      <c r="A733" s="709"/>
      <c r="B733" s="709"/>
      <c r="C733" s="527"/>
      <c r="D733" s="709"/>
      <c r="E733" s="709"/>
      <c r="F733" s="709"/>
    </row>
    <row r="734" spans="1:6" x14ac:dyDescent="0.25">
      <c r="A734" s="709"/>
      <c r="B734" s="709"/>
      <c r="C734" s="527"/>
      <c r="D734" s="709"/>
      <c r="E734" s="709"/>
      <c r="F734" s="709"/>
    </row>
    <row r="735" spans="1:6" x14ac:dyDescent="0.25">
      <c r="A735" s="709"/>
      <c r="B735" s="709"/>
      <c r="C735" s="527"/>
      <c r="D735" s="709"/>
      <c r="E735" s="709"/>
      <c r="F735" s="709"/>
    </row>
    <row r="736" spans="1:6" x14ac:dyDescent="0.25">
      <c r="A736" s="709"/>
      <c r="B736" s="709"/>
      <c r="C736" s="527"/>
      <c r="D736" s="709"/>
      <c r="E736" s="709"/>
      <c r="F736" s="709"/>
    </row>
    <row r="737" spans="1:6" x14ac:dyDescent="0.25">
      <c r="A737" s="709"/>
      <c r="B737" s="709"/>
      <c r="C737" s="527"/>
      <c r="D737" s="709"/>
      <c r="E737" s="709"/>
      <c r="F737" s="709"/>
    </row>
    <row r="738" spans="1:6" x14ac:dyDescent="0.25">
      <c r="A738" s="709"/>
      <c r="B738" s="709"/>
      <c r="C738" s="527"/>
      <c r="D738" s="709"/>
      <c r="E738" s="709"/>
      <c r="F738" s="709"/>
    </row>
    <row r="739" spans="1:6" x14ac:dyDescent="0.25">
      <c r="A739" s="709"/>
      <c r="B739" s="709"/>
      <c r="C739" s="527"/>
      <c r="D739" s="709"/>
      <c r="E739" s="709"/>
      <c r="F739" s="709"/>
    </row>
    <row r="740" spans="1:6" x14ac:dyDescent="0.25">
      <c r="A740" s="709"/>
      <c r="B740" s="709"/>
      <c r="C740" s="527"/>
      <c r="D740" s="709"/>
      <c r="E740" s="709"/>
      <c r="F740" s="709"/>
    </row>
    <row r="741" spans="1:6" x14ac:dyDescent="0.25">
      <c r="A741" s="709"/>
      <c r="B741" s="709"/>
      <c r="C741" s="527"/>
      <c r="D741" s="709"/>
      <c r="E741" s="709"/>
      <c r="F741" s="709"/>
    </row>
    <row r="742" spans="1:6" x14ac:dyDescent="0.25">
      <c r="A742" s="709"/>
      <c r="B742" s="709"/>
      <c r="C742" s="527"/>
      <c r="D742" s="709"/>
      <c r="E742" s="709"/>
      <c r="F742" s="709"/>
    </row>
    <row r="743" spans="1:6" x14ac:dyDescent="0.25">
      <c r="A743" s="709"/>
      <c r="B743" s="709"/>
      <c r="C743" s="527"/>
      <c r="D743" s="709"/>
      <c r="E743" s="709"/>
      <c r="F743" s="709"/>
    </row>
    <row r="744" spans="1:6" x14ac:dyDescent="0.25">
      <c r="A744" s="709"/>
      <c r="B744" s="709"/>
      <c r="C744" s="527"/>
      <c r="D744" s="709"/>
      <c r="E744" s="709"/>
      <c r="F744" s="709"/>
    </row>
    <row r="745" spans="1:6" x14ac:dyDescent="0.25">
      <c r="A745" s="709"/>
      <c r="B745" s="709"/>
      <c r="C745" s="527"/>
      <c r="D745" s="709"/>
      <c r="E745" s="709"/>
      <c r="F745" s="709"/>
    </row>
    <row r="746" spans="1:6" x14ac:dyDescent="0.25">
      <c r="A746" s="709"/>
      <c r="B746" s="709"/>
      <c r="C746" s="527"/>
      <c r="D746" s="709"/>
      <c r="E746" s="709"/>
      <c r="F746" s="709"/>
    </row>
    <row r="747" spans="1:6" x14ac:dyDescent="0.25">
      <c r="A747" s="709"/>
      <c r="B747" s="709"/>
      <c r="C747" s="527"/>
      <c r="D747" s="709"/>
      <c r="E747" s="709"/>
      <c r="F747" s="709"/>
    </row>
    <row r="748" spans="1:6" x14ac:dyDescent="0.25">
      <c r="A748" s="709"/>
      <c r="B748" s="709"/>
      <c r="C748" s="527"/>
      <c r="D748" s="709"/>
      <c r="E748" s="709"/>
      <c r="F748" s="709"/>
    </row>
    <row r="749" spans="1:6" x14ac:dyDescent="0.25">
      <c r="A749" s="709"/>
      <c r="B749" s="709"/>
      <c r="C749" s="527"/>
      <c r="D749" s="709"/>
      <c r="E749" s="709"/>
      <c r="F749" s="709"/>
    </row>
    <row r="750" spans="1:6" x14ac:dyDescent="0.25">
      <c r="A750" s="709"/>
      <c r="B750" s="709"/>
      <c r="C750" s="527"/>
      <c r="D750" s="709"/>
      <c r="E750" s="709"/>
      <c r="F750" s="709"/>
    </row>
    <row r="751" spans="1:6" x14ac:dyDescent="0.25">
      <c r="A751" s="709"/>
      <c r="B751" s="709"/>
      <c r="C751" s="527"/>
      <c r="D751" s="709"/>
      <c r="E751" s="709"/>
      <c r="F751" s="709"/>
    </row>
    <row r="752" spans="1:6" x14ac:dyDescent="0.25">
      <c r="A752" s="709"/>
      <c r="B752" s="709"/>
      <c r="C752" s="527"/>
      <c r="D752" s="709"/>
      <c r="E752" s="709"/>
      <c r="F752" s="709"/>
    </row>
    <row r="753" spans="1:6" x14ac:dyDescent="0.25">
      <c r="A753" s="709"/>
      <c r="B753" s="709"/>
      <c r="C753" s="527"/>
      <c r="D753" s="709"/>
      <c r="E753" s="709"/>
      <c r="F753" s="709"/>
    </row>
    <row r="754" spans="1:6" x14ac:dyDescent="0.25">
      <c r="A754" s="709"/>
      <c r="B754" s="709"/>
      <c r="C754" s="527"/>
      <c r="D754" s="709"/>
      <c r="E754" s="709"/>
      <c r="F754" s="709"/>
    </row>
    <row r="755" spans="1:6" x14ac:dyDescent="0.25">
      <c r="A755" s="709"/>
      <c r="B755" s="709"/>
      <c r="C755" s="527"/>
      <c r="D755" s="709"/>
      <c r="E755" s="709"/>
      <c r="F755" s="709"/>
    </row>
    <row r="756" spans="1:6" x14ac:dyDescent="0.25">
      <c r="A756" s="709"/>
      <c r="B756" s="709"/>
      <c r="C756" s="527"/>
      <c r="D756" s="709"/>
      <c r="E756" s="709"/>
      <c r="F756" s="709"/>
    </row>
    <row r="757" spans="1:6" x14ac:dyDescent="0.25">
      <c r="A757" s="709"/>
      <c r="B757" s="709"/>
      <c r="C757" s="527"/>
      <c r="D757" s="709"/>
      <c r="E757" s="709"/>
      <c r="F757" s="709"/>
    </row>
    <row r="758" spans="1:6" x14ac:dyDescent="0.25">
      <c r="A758" s="709"/>
      <c r="B758" s="709"/>
      <c r="C758" s="527"/>
      <c r="D758" s="709"/>
      <c r="E758" s="709"/>
      <c r="F758" s="709"/>
    </row>
    <row r="759" spans="1:6" x14ac:dyDescent="0.25">
      <c r="A759" s="709"/>
      <c r="B759" s="709"/>
      <c r="C759" s="527"/>
      <c r="D759" s="709"/>
      <c r="E759" s="709"/>
      <c r="F759" s="709"/>
    </row>
    <row r="760" spans="1:6" x14ac:dyDescent="0.25">
      <c r="A760" s="709"/>
      <c r="B760" s="709"/>
      <c r="C760" s="527"/>
      <c r="D760" s="709"/>
      <c r="E760" s="709"/>
      <c r="F760" s="709"/>
    </row>
    <row r="761" spans="1:6" x14ac:dyDescent="0.25">
      <c r="A761" s="709"/>
      <c r="B761" s="709"/>
      <c r="C761" s="527"/>
      <c r="D761" s="709"/>
      <c r="E761" s="709"/>
      <c r="F761" s="709"/>
    </row>
    <row r="762" spans="1:6" x14ac:dyDescent="0.25">
      <c r="A762" s="709"/>
      <c r="B762" s="709"/>
      <c r="C762" s="527"/>
      <c r="D762" s="709"/>
      <c r="E762" s="709"/>
      <c r="F762" s="709"/>
    </row>
    <row r="763" spans="1:6" x14ac:dyDescent="0.25">
      <c r="A763" s="709"/>
      <c r="B763" s="709"/>
      <c r="C763" s="527"/>
      <c r="D763" s="709"/>
      <c r="E763" s="709"/>
      <c r="F763" s="709"/>
    </row>
    <row r="764" spans="1:6" x14ac:dyDescent="0.25">
      <c r="A764" s="709"/>
      <c r="B764" s="709"/>
      <c r="C764" s="527"/>
      <c r="D764" s="709"/>
      <c r="E764" s="709"/>
      <c r="F764" s="709"/>
    </row>
    <row r="765" spans="1:6" x14ac:dyDescent="0.25">
      <c r="A765" s="709"/>
      <c r="B765" s="709"/>
      <c r="C765" s="527"/>
      <c r="D765" s="709"/>
      <c r="E765" s="709"/>
      <c r="F765" s="709"/>
    </row>
    <row r="766" spans="1:6" x14ac:dyDescent="0.25">
      <c r="A766" s="709"/>
      <c r="B766" s="709"/>
      <c r="C766" s="527"/>
      <c r="D766" s="709"/>
      <c r="E766" s="709"/>
      <c r="F766" s="709"/>
    </row>
    <row r="767" spans="1:6" x14ac:dyDescent="0.25">
      <c r="A767" s="709"/>
      <c r="B767" s="709"/>
      <c r="C767" s="527"/>
      <c r="D767" s="709"/>
      <c r="E767" s="709"/>
      <c r="F767" s="709"/>
    </row>
    <row r="768" spans="1:6" x14ac:dyDescent="0.25">
      <c r="A768" s="709"/>
      <c r="B768" s="709"/>
      <c r="C768" s="527"/>
      <c r="D768" s="709"/>
      <c r="E768" s="709"/>
      <c r="F768" s="709"/>
    </row>
    <row r="769" spans="1:6" x14ac:dyDescent="0.25">
      <c r="A769" s="709"/>
      <c r="B769" s="709"/>
      <c r="C769" s="527"/>
      <c r="D769" s="709"/>
      <c r="E769" s="709"/>
      <c r="F769" s="709"/>
    </row>
    <row r="770" spans="1:6" x14ac:dyDescent="0.25">
      <c r="A770" s="709"/>
      <c r="B770" s="709"/>
      <c r="C770" s="527"/>
      <c r="D770" s="709"/>
      <c r="E770" s="709"/>
      <c r="F770" s="709"/>
    </row>
    <row r="771" spans="1:6" x14ac:dyDescent="0.25">
      <c r="A771" s="709"/>
      <c r="B771" s="709"/>
      <c r="C771" s="527"/>
      <c r="D771" s="709"/>
      <c r="E771" s="709"/>
      <c r="F771" s="709"/>
    </row>
    <row r="772" spans="1:6" x14ac:dyDescent="0.25">
      <c r="A772" s="709"/>
      <c r="B772" s="709"/>
      <c r="C772" s="527"/>
      <c r="D772" s="709"/>
      <c r="E772" s="709"/>
      <c r="F772" s="709"/>
    </row>
    <row r="773" spans="1:6" x14ac:dyDescent="0.25">
      <c r="A773" s="709"/>
      <c r="B773" s="709"/>
      <c r="C773" s="527"/>
      <c r="D773" s="709"/>
      <c r="E773" s="709"/>
      <c r="F773" s="709"/>
    </row>
    <row r="774" spans="1:6" x14ac:dyDescent="0.25">
      <c r="A774" s="709"/>
      <c r="B774" s="709"/>
      <c r="C774" s="527"/>
      <c r="D774" s="709"/>
      <c r="E774" s="709"/>
      <c r="F774" s="709"/>
    </row>
    <row r="775" spans="1:6" x14ac:dyDescent="0.25">
      <c r="A775" s="709"/>
      <c r="B775" s="709"/>
      <c r="C775" s="527"/>
      <c r="D775" s="709"/>
      <c r="E775" s="709"/>
      <c r="F775" s="709"/>
    </row>
    <row r="776" spans="1:6" x14ac:dyDescent="0.25">
      <c r="A776" s="709"/>
      <c r="B776" s="709"/>
      <c r="C776" s="527"/>
      <c r="D776" s="709"/>
      <c r="E776" s="709"/>
      <c r="F776" s="709"/>
    </row>
    <row r="777" spans="1:6" x14ac:dyDescent="0.25">
      <c r="A777" s="709"/>
      <c r="B777" s="709"/>
      <c r="C777" s="527"/>
      <c r="D777" s="709"/>
      <c r="E777" s="709"/>
      <c r="F777" s="709"/>
    </row>
    <row r="778" spans="1:6" x14ac:dyDescent="0.25">
      <c r="A778" s="709"/>
      <c r="B778" s="709"/>
      <c r="C778" s="527"/>
      <c r="D778" s="709"/>
      <c r="E778" s="709"/>
      <c r="F778" s="709"/>
    </row>
    <row r="779" spans="1:6" x14ac:dyDescent="0.25">
      <c r="A779" s="709"/>
      <c r="B779" s="709"/>
      <c r="C779" s="527"/>
      <c r="D779" s="709"/>
      <c r="E779" s="709"/>
      <c r="F779" s="709"/>
    </row>
    <row r="780" spans="1:6" x14ac:dyDescent="0.25">
      <c r="A780" s="709"/>
      <c r="B780" s="709"/>
      <c r="C780" s="527"/>
      <c r="D780" s="709"/>
      <c r="E780" s="709"/>
      <c r="F780" s="709"/>
    </row>
    <row r="781" spans="1:6" x14ac:dyDescent="0.25">
      <c r="A781" s="709"/>
      <c r="B781" s="709"/>
      <c r="C781" s="527"/>
      <c r="D781" s="709"/>
      <c r="E781" s="709"/>
      <c r="F781" s="709"/>
    </row>
    <row r="782" spans="1:6" x14ac:dyDescent="0.25">
      <c r="A782" s="709"/>
      <c r="B782" s="709"/>
      <c r="C782" s="527"/>
      <c r="D782" s="709"/>
      <c r="E782" s="709"/>
      <c r="F782" s="709"/>
    </row>
    <row r="783" spans="1:6" x14ac:dyDescent="0.25">
      <c r="A783" s="709"/>
      <c r="B783" s="709"/>
      <c r="C783" s="527"/>
      <c r="D783" s="709"/>
      <c r="E783" s="709"/>
      <c r="F783" s="709"/>
    </row>
    <row r="784" spans="1:6" x14ac:dyDescent="0.25">
      <c r="A784" s="709"/>
      <c r="B784" s="709"/>
      <c r="C784" s="527"/>
      <c r="D784" s="709"/>
      <c r="E784" s="709"/>
      <c r="F784" s="709"/>
    </row>
    <row r="785" spans="1:6" x14ac:dyDescent="0.25">
      <c r="A785" s="709"/>
      <c r="B785" s="709"/>
      <c r="C785" s="527"/>
      <c r="D785" s="709"/>
      <c r="E785" s="709"/>
      <c r="F785" s="709"/>
    </row>
    <row r="786" spans="1:6" x14ac:dyDescent="0.25">
      <c r="A786" s="709"/>
      <c r="B786" s="709"/>
      <c r="C786" s="527"/>
      <c r="D786" s="709"/>
      <c r="E786" s="709"/>
      <c r="F786" s="709"/>
    </row>
    <row r="787" spans="1:6" x14ac:dyDescent="0.25">
      <c r="A787" s="709"/>
      <c r="B787" s="709"/>
      <c r="C787" s="527"/>
      <c r="D787" s="709"/>
      <c r="E787" s="709"/>
      <c r="F787" s="709"/>
    </row>
    <row r="788" spans="1:6" x14ac:dyDescent="0.25">
      <c r="A788" s="709"/>
      <c r="B788" s="709"/>
      <c r="C788" s="527"/>
      <c r="D788" s="709"/>
      <c r="E788" s="709"/>
      <c r="F788" s="709"/>
    </row>
    <row r="789" spans="1:6" x14ac:dyDescent="0.25">
      <c r="A789" s="709"/>
      <c r="B789" s="709"/>
      <c r="C789" s="527"/>
      <c r="D789" s="709"/>
      <c r="E789" s="709"/>
      <c r="F789" s="709"/>
    </row>
    <row r="790" spans="1:6" x14ac:dyDescent="0.25">
      <c r="A790" s="709"/>
      <c r="B790" s="709"/>
      <c r="C790" s="527"/>
      <c r="D790" s="709"/>
      <c r="E790" s="709"/>
      <c r="F790" s="709"/>
    </row>
    <row r="791" spans="1:6" x14ac:dyDescent="0.25">
      <c r="A791" s="709"/>
      <c r="B791" s="709"/>
      <c r="C791" s="527"/>
      <c r="D791" s="709"/>
      <c r="E791" s="709"/>
      <c r="F791" s="709"/>
    </row>
    <row r="792" spans="1:6" x14ac:dyDescent="0.25">
      <c r="A792" s="709"/>
      <c r="B792" s="709"/>
      <c r="C792" s="527"/>
      <c r="D792" s="709"/>
      <c r="E792" s="709"/>
      <c r="F792" s="709"/>
    </row>
    <row r="793" spans="1:6" x14ac:dyDescent="0.25">
      <c r="A793" s="709"/>
      <c r="B793" s="709"/>
      <c r="C793" s="527"/>
      <c r="D793" s="709"/>
      <c r="E793" s="709"/>
      <c r="F793" s="709"/>
    </row>
    <row r="794" spans="1:6" x14ac:dyDescent="0.25">
      <c r="A794" s="709"/>
      <c r="B794" s="709"/>
      <c r="C794" s="527"/>
      <c r="D794" s="709"/>
      <c r="E794" s="709"/>
      <c r="F794" s="709"/>
    </row>
    <row r="795" spans="1:6" x14ac:dyDescent="0.25">
      <c r="A795" s="709"/>
      <c r="B795" s="709"/>
      <c r="C795" s="527"/>
      <c r="D795" s="709"/>
      <c r="E795" s="709"/>
      <c r="F795" s="709"/>
    </row>
    <row r="796" spans="1:6" x14ac:dyDescent="0.25">
      <c r="A796" s="709"/>
      <c r="B796" s="709"/>
      <c r="C796" s="527"/>
      <c r="D796" s="709"/>
      <c r="E796" s="709"/>
      <c r="F796" s="709"/>
    </row>
    <row r="797" spans="1:6" x14ac:dyDescent="0.25">
      <c r="A797" s="709"/>
      <c r="B797" s="709"/>
      <c r="C797" s="527"/>
      <c r="D797" s="709"/>
      <c r="E797" s="709"/>
      <c r="F797" s="709"/>
    </row>
    <row r="798" spans="1:6" x14ac:dyDescent="0.25">
      <c r="A798" s="709"/>
      <c r="B798" s="709"/>
      <c r="C798" s="527"/>
      <c r="D798" s="709"/>
      <c r="E798" s="709"/>
      <c r="F798" s="709"/>
    </row>
    <row r="799" spans="1:6" x14ac:dyDescent="0.25">
      <c r="A799" s="709"/>
      <c r="B799" s="709"/>
      <c r="C799" s="527"/>
      <c r="D799" s="709"/>
      <c r="E799" s="709"/>
      <c r="F799" s="709"/>
    </row>
    <row r="800" spans="1:6" x14ac:dyDescent="0.25">
      <c r="A800" s="709"/>
      <c r="B800" s="709"/>
      <c r="C800" s="527"/>
      <c r="D800" s="709"/>
      <c r="E800" s="709"/>
      <c r="F800" s="709"/>
    </row>
    <row r="801" spans="1:6" x14ac:dyDescent="0.25">
      <c r="A801" s="709"/>
      <c r="B801" s="709"/>
      <c r="C801" s="527"/>
      <c r="D801" s="709"/>
      <c r="E801" s="709"/>
      <c r="F801" s="709"/>
    </row>
    <row r="802" spans="1:6" x14ac:dyDescent="0.25">
      <c r="A802" s="709"/>
      <c r="B802" s="709"/>
      <c r="C802" s="527"/>
      <c r="D802" s="709"/>
      <c r="E802" s="709"/>
      <c r="F802" s="709"/>
    </row>
    <row r="803" spans="1:6" x14ac:dyDescent="0.25">
      <c r="A803" s="709"/>
      <c r="B803" s="709"/>
      <c r="C803" s="527"/>
      <c r="D803" s="709"/>
      <c r="E803" s="709"/>
      <c r="F803" s="709"/>
    </row>
    <row r="804" spans="1:6" x14ac:dyDescent="0.25">
      <c r="A804" s="709"/>
      <c r="B804" s="709"/>
      <c r="C804" s="527"/>
      <c r="D804" s="709"/>
      <c r="E804" s="709"/>
      <c r="F804" s="709"/>
    </row>
    <row r="805" spans="1:6" x14ac:dyDescent="0.25">
      <c r="A805" s="709"/>
      <c r="B805" s="709"/>
      <c r="C805" s="527"/>
      <c r="D805" s="709"/>
      <c r="E805" s="709"/>
      <c r="F805" s="709"/>
    </row>
    <row r="806" spans="1:6" x14ac:dyDescent="0.25">
      <c r="A806" s="709"/>
      <c r="B806" s="709"/>
      <c r="C806" s="527"/>
      <c r="D806" s="709"/>
      <c r="E806" s="709"/>
      <c r="F806" s="709"/>
    </row>
    <row r="807" spans="1:6" x14ac:dyDescent="0.25">
      <c r="A807" s="709"/>
      <c r="B807" s="709"/>
      <c r="C807" s="527"/>
      <c r="D807" s="709"/>
      <c r="E807" s="709"/>
      <c r="F807" s="709"/>
    </row>
    <row r="808" spans="1:6" x14ac:dyDescent="0.25">
      <c r="A808" s="709"/>
      <c r="B808" s="709"/>
      <c r="C808" s="527"/>
      <c r="D808" s="709"/>
      <c r="E808" s="709"/>
      <c r="F808" s="709"/>
    </row>
    <row r="809" spans="1:6" x14ac:dyDescent="0.25">
      <c r="A809" s="709"/>
      <c r="B809" s="709"/>
      <c r="C809" s="527"/>
      <c r="D809" s="709"/>
      <c r="E809" s="709"/>
      <c r="F809" s="709"/>
    </row>
    <row r="810" spans="1:6" x14ac:dyDescent="0.25">
      <c r="A810" s="709"/>
      <c r="B810" s="709"/>
      <c r="C810" s="527"/>
      <c r="D810" s="709"/>
      <c r="E810" s="709"/>
      <c r="F810" s="709"/>
    </row>
    <row r="811" spans="1:6" x14ac:dyDescent="0.25">
      <c r="A811" s="709"/>
      <c r="B811" s="709"/>
      <c r="C811" s="527"/>
      <c r="D811" s="709"/>
      <c r="E811" s="709"/>
      <c r="F811" s="709"/>
    </row>
    <row r="812" spans="1:6" x14ac:dyDescent="0.25">
      <c r="A812" s="709"/>
      <c r="B812" s="709"/>
      <c r="C812" s="527"/>
      <c r="D812" s="709"/>
      <c r="E812" s="709"/>
      <c r="F812" s="709"/>
    </row>
  </sheetData>
  <conditionalFormatting sqref="E290">
    <cfRule type="containsBlanks" priority="1">
      <formula>LEN(TRIM(E290))=0</formula>
    </cfRule>
    <cfRule type="containsBlanks" priority="3">
      <formula>LEN(TRIM(E290))=0</formula>
    </cfRule>
  </conditionalFormatting>
  <conditionalFormatting sqref="E288:E290">
    <cfRule type="iconSet" priority="2">
      <iconSet>
        <cfvo type="percent" val="0"/>
        <cfvo type="num" val="0"/>
        <cfvo type="num" val="0"/>
      </iconSet>
    </cfRule>
  </conditionalFormatting>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54FF6F6BFE1F4DB95ED8775B48CA91" ma:contentTypeVersion="36" ma:contentTypeDescription="Create a new document." ma:contentTypeScope="" ma:versionID="bdf86cee816a31a8f87732af800d3e69">
  <xsd:schema xmlns:xsd="http://www.w3.org/2001/XMLSchema" xmlns:xs="http://www.w3.org/2001/XMLSchema" xmlns:p="http://schemas.microsoft.com/office/2006/metadata/properties" xmlns:ns2="7b02d9b3-0750-4193-90ea-e2fce0096684" xmlns:ns3="fe0daf43-258d-42ef-b5ee-58830eb703bc" targetNamespace="http://schemas.microsoft.com/office/2006/metadata/properties" ma:root="true" ma:fieldsID="7738826cef420dddc301fc593cf03ac0" ns2:_="" ns3:_="">
    <xsd:import namespace="7b02d9b3-0750-4193-90ea-e2fce0096684"/>
    <xsd:import namespace="fe0daf43-258d-42ef-b5ee-58830eb703b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3:_dlc_DocId" minOccurs="0"/>
                <xsd:element ref="ns3:_dlc_DocIdUrl" minOccurs="0"/>
                <xsd:element ref="ns3:_dlc_DocIdPersistId"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02d9b3-0750-4193-90ea-e2fce0096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0daf43-258d-42ef-b5ee-58830eb703b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fe0daf43-258d-42ef-b5ee-58830eb703bc">ED6AZ73W7JUT-2102554853-3392129</_dlc_DocId>
    <_dlc_DocIdUrl xmlns="fe0daf43-258d-42ef-b5ee-58830eb703bc">
      <Url>https://bonsucro.sharepoint.com/_layouts/15/DocIdRedir.aspx?ID=ED6AZ73W7JUT-2102554853-3392129</Url>
      <Description>ED6AZ73W7JUT-2102554853-3392129</Description>
    </_dlc_DocIdUrl>
    <SharedWithUsers xmlns="fe0daf43-258d-42ef-b5ee-58830eb703bc">
      <UserInfo>
        <DisplayName>Chen-Wei Chang</DisplayName>
        <AccountId>61</AccountId>
        <AccountType/>
      </UserInfo>
    </SharedWithUsers>
  </documentManagement>
</p:properties>
</file>

<file path=customXml/itemProps1.xml><?xml version="1.0" encoding="utf-8"?>
<ds:datastoreItem xmlns:ds="http://schemas.openxmlformats.org/officeDocument/2006/customXml" ds:itemID="{76016AB4-CCD5-42B9-B4A2-C43F7F974BBD}">
  <ds:schemaRefs>
    <ds:schemaRef ds:uri="http://schemas.microsoft.com/sharepoint/v3/contenttype/forms"/>
  </ds:schemaRefs>
</ds:datastoreItem>
</file>

<file path=customXml/itemProps2.xml><?xml version="1.0" encoding="utf-8"?>
<ds:datastoreItem xmlns:ds="http://schemas.openxmlformats.org/officeDocument/2006/customXml" ds:itemID="{577148D5-EC71-4813-AA39-1E8B4F3EEF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02d9b3-0750-4193-90ea-e2fce0096684"/>
    <ds:schemaRef ds:uri="fe0daf43-258d-42ef-b5ee-58830eb703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E5352C-4966-494F-A274-65AB2ADCF7EB}">
  <ds:schemaRefs>
    <ds:schemaRef ds:uri="http://schemas.microsoft.com/sharepoint/events"/>
  </ds:schemaRefs>
</ds:datastoreItem>
</file>

<file path=customXml/itemProps4.xml><?xml version="1.0" encoding="utf-8"?>
<ds:datastoreItem xmlns:ds="http://schemas.openxmlformats.org/officeDocument/2006/customXml" ds:itemID="{BC4126E5-C262-4039-9124-FB5BE51CFDFF}">
  <ds:schemaRefs>
    <ds:schemaRef ds:uri="http://schemas.microsoft.com/office/2006/metadata/properties"/>
    <ds:schemaRef ds:uri="http://schemas.microsoft.com/office/infopath/2007/PartnerControls"/>
    <ds:schemaRef ds:uri="fe0daf43-258d-42ef-b5ee-58830eb703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Changes</vt:lpstr>
      <vt:lpstr>Output Summary</vt:lpstr>
      <vt:lpstr>Input Data</vt:lpstr>
      <vt:lpstr>Whole supply area</vt:lpstr>
      <vt:lpstr>P5 Mill</vt:lpstr>
      <vt:lpstr>P5 Agric</vt:lpstr>
      <vt:lpstr>P4 Mill</vt:lpstr>
      <vt:lpstr>P4 Agric</vt:lpstr>
      <vt:lpstr>P3 Mill</vt:lpstr>
      <vt:lpstr>P3 Agric</vt:lpstr>
      <vt:lpstr>GHG emissions graph</vt:lpstr>
      <vt:lpstr>P2 Mill</vt:lpstr>
      <vt:lpstr>P2 Agric</vt:lpstr>
      <vt:lpstr>P1 Mill</vt:lpstr>
      <vt:lpstr>P1 Agric</vt:lpstr>
      <vt:lpstr>Scope 1&amp;2&amp;3</vt:lpstr>
      <vt:lpstr>P6 Agric</vt:lpstr>
      <vt:lpstr>P6 Mill</vt:lpstr>
      <vt:lpstr>Conversion factors</vt:lpstr>
      <vt:lpstr>Conversion Table</vt:lpstr>
      <vt:lpstr>References</vt:lpstr>
      <vt:lpstr>Symbols + Abbreviations</vt:lpstr>
      <vt:lpstr>References!_Toc287015637</vt:lpstr>
      <vt:lpstr>'Input Data'!Print_Area</vt:lpstr>
      <vt:lpstr>'Output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Liz Foggitt</cp:lastModifiedBy>
  <cp:revision/>
  <dcterms:created xsi:type="dcterms:W3CDTF">2010-01-27T14:16:43Z</dcterms:created>
  <dcterms:modified xsi:type="dcterms:W3CDTF">2021-07-08T09:22:31Z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0x0101000954FF6F6BFE1F4DB95ED8775B48CA91</vt:lpwstr>
  </property>
  <property fmtid="{D5CDD505-2E9C-101B-9397-08002B2CF9AE}" pid="3" name="_dlc_DocIdItemGuid">
    <vt:lpwstr>72d9c8b4-195e-43e7-8a7f-87f8db230f1d</vt:lpwstr>
  </property>
</Properties>
</file>